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5.xml" ContentType="application/vnd.ms-excel.person+xml"/>
  <Override PartName="/xl/persons/person13.xml" ContentType="application/vnd.ms-excel.person+xml"/>
  <Override PartName="/xl/persons/person25.xml" ContentType="application/vnd.ms-excel.person+xml"/>
  <Override PartName="/xl/persons/person8.xml" ContentType="application/vnd.ms-excel.person+xml"/>
  <Override PartName="/xl/persons/person21.xml" ContentType="application/vnd.ms-excel.person+xml"/>
  <Override PartName="/xl/persons/person1.xml" ContentType="application/vnd.ms-excel.person+xml"/>
  <Override PartName="/xl/persons/person31.xml" ContentType="application/vnd.ms-excel.person+xml"/>
  <Override PartName="/xl/persons/person34.xml" ContentType="application/vnd.ms-excel.person+xml"/>
  <Override PartName="/xl/persons/person40.xml" ContentType="application/vnd.ms-excel.person+xml"/>
  <Override PartName="/xl/persons/person48.xml" ContentType="application/vnd.ms-excel.person+xml"/>
  <Override PartName="/xl/persons/person51.xml" ContentType="application/vnd.ms-excel.person+xml"/>
  <Override PartName="/xl/persons/person59.xml" ContentType="application/vnd.ms-excel.person+xml"/>
  <Override PartName="/xl/persons/person42.xml" ContentType="application/vnd.ms-excel.person+xml"/>
  <Override PartName="/xl/persons/person54.xml" ContentType="application/vnd.ms-excel.person+xml"/>
  <Override PartName="/xl/persons/person16.xml" ContentType="application/vnd.ms-excel.person+xml"/>
  <Override PartName="/xl/persons/person27.xml" ContentType="application/vnd.ms-excel.person+xml"/>
  <Override PartName="/xl/persons/person11.xml" ContentType="application/vnd.ms-excel.person+xml"/>
  <Override PartName="/xl/persons/person18.xml" ContentType="application/vnd.ms-excel.person+xml"/>
  <Override PartName="/xl/persons/person2.xml" ContentType="application/vnd.ms-excel.person+xml"/>
  <Override PartName="/xl/persons/person29.xml" ContentType="application/vnd.ms-excel.person+xml"/>
  <Override PartName="/xl/persons/person37.xml" ContentType="application/vnd.ms-excel.person+xml"/>
  <Override PartName="/xl/persons/person41.xml" ContentType="application/vnd.ms-excel.person+xml"/>
  <Override PartName="/xl/persons/person50.xml" ContentType="application/vnd.ms-excel.person+xml"/>
  <Override PartName="/xl/persons/person58.xml" ContentType="application/vnd.ms-excel.person+xml"/>
  <Override PartName="/xl/persons/person63.xml" ContentType="application/vnd.ms-excel.person+xml"/>
  <Override PartName="/xl/persons/person45.xml" ContentType="application/vnd.ms-excel.person+xml"/>
  <Override PartName="/xl/persons/person66.xml" ContentType="application/vnd.ms-excel.person+xml"/>
  <Override PartName="/xl/persons/person47.xml" ContentType="application/vnd.ms-excel.person+xml"/>
  <Override PartName="/xl/persons/person7.xml" ContentType="application/vnd.ms-excel.person+xml"/>
  <Override PartName="/xl/persons/person17.xml" ContentType="application/vnd.ms-excel.person+xml"/>
  <Override PartName="/xl/persons/person28.xml" ContentType="application/vnd.ms-excel.person+xml"/>
  <Override PartName="/xl/persons/person36.xml" ContentType="application/vnd.ms-excel.person+xml"/>
  <Override PartName="/xl/persons/person49.xml" ContentType="application/vnd.ms-excel.person+xml"/>
  <Override PartName="/xl/persons/person57.xml" ContentType="application/vnd.ms-excel.person+xml"/>
  <Override PartName="/xl/persons/person62.xml" ContentType="application/vnd.ms-excel.person+xml"/>
  <Override PartName="/xl/persons/person64.xml" ContentType="application/vnd.ms-excel.person+xml"/>
  <Override PartName="/xl/persons/person3.xml" ContentType="application/vnd.ms-excel.person+xml"/>
  <Override PartName="/xl/persons/person56.xml" ContentType="application/vnd.ms-excel.person+xml"/>
  <Override PartName="/xl/persons/person53.xml" ContentType="application/vnd.ms-excel.person+xml"/>
  <Override PartName="/xl/persons/person44.xml" ContentType="application/vnd.ms-excel.person+xml"/>
  <Override PartName="/xl/persons/person35.xml" ContentType="application/vnd.ms-excel.person+xml"/>
  <Override PartName="/xl/persons/person32.xml" ContentType="application/vnd.ms-excel.person+xml"/>
  <Override PartName="/xl/persons/person24.xml" ContentType="application/vnd.ms-excel.person+xml"/>
  <Override PartName="/xl/persons/person19.xml" ContentType="application/vnd.ms-excel.person+xml"/>
  <Override PartName="/xl/persons/person15.xml" ContentType="application/vnd.ms-excel.person+xml"/>
  <Override PartName="/xl/persons/person10.xml" ContentType="application/vnd.ms-excel.person+xml"/>
  <Override PartName="/xl/persons/person65.xml" ContentType="application/vnd.ms-excel.person+xml"/>
  <Override PartName="/xl/persons/person61.xml" ContentType="application/vnd.ms-excel.person+xml"/>
  <Override PartName="/xl/persons/person39.xml" ContentType="application/vnd.ms-excel.person+xml"/>
  <Override PartName="/xl/persons/person52.xml" ContentType="application/vnd.ms-excel.person+xml"/>
  <Override PartName="/xl/persons/person4.xml" ContentType="application/vnd.ms-excel.person+xml"/>
  <Override PartName="/xl/persons/person12.xml" ContentType="application/vnd.ms-excel.person+xml"/>
  <Override PartName="/xl/persons/person20.xml" ContentType="application/vnd.ms-excel.person+xml"/>
  <Override PartName="/xl/persons/person23.xml" ContentType="application/vnd.ms-excel.person+xml"/>
  <Override PartName="/xl/persons/person30.xml" ContentType="application/vnd.ms-excel.person+xml"/>
  <Override PartName="/xl/persons/person43.xml" ContentType="application/vnd.ms-excel.person+xml"/>
  <Override PartName="/xl/persons/person.xml" ContentType="application/vnd.ms-excel.person+xml"/>
  <Override PartName="/xl/persons/person60.xml" ContentType="application/vnd.ms-excel.person+xml"/>
  <Override PartName="/xl/persons/person55.xml" ContentType="application/vnd.ms-excel.person+xml"/>
  <Override PartName="/xl/persons/person6.xml" ContentType="application/vnd.ms-excel.person+xml"/>
  <Override PartName="/xl/persons/person26.xml" ContentType="application/vnd.ms-excel.person+xml"/>
  <Override PartName="/xl/persons/person38.xml" ContentType="application/vnd.ms-excel.person+xml"/>
  <Override PartName="/xl/persons/person46.xml" ContentType="application/vnd.ms-excel.person+xml"/>
  <Override PartName="/xl/persons/person0.xml" ContentType="application/vnd.ms-excel.person+xml"/>
  <Override PartName="/xl/persons/person9.xml" ContentType="application/vnd.ms-excel.person+xml"/>
  <Override PartName="/xl/persons/person14.xml" ContentType="application/vnd.ms-excel.person+xml"/>
  <Override PartName="/xl/persons/person22.xml" ContentType="application/vnd.ms-excel.person+xml"/>
  <Override PartName="/xl/persons/person33.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d.docs.live.net/DD00E38420E21886/Documents/"/>
    </mc:Choice>
  </mc:AlternateContent>
  <xr:revisionPtr revIDLastSave="5" documentId="8_{93C4EC73-5321-4F00-8838-11FB9FCE77DA}" xr6:coauthVersionLast="47" xr6:coauthVersionMax="47" xr10:uidLastSave="{D0CC9943-0906-472E-B4B2-DC89510097DD}"/>
  <bookViews>
    <workbookView xWindow="-120" yWindow="-120" windowWidth="29040" windowHeight="15720" activeTab="3" xr2:uid="{00000000-000D-0000-FFFF-FFFF00000000}"/>
  </bookViews>
  <sheets>
    <sheet name="2023-24 in&amp;out" sheetId="15" r:id="rId1"/>
    <sheet name="P&amp;L 2024" sheetId="16" r:id="rId2"/>
    <sheet name="2025 in&amp;out" sheetId="21" r:id="rId3"/>
    <sheet name="P&amp;L 2025" sheetId="20" r:id="rId4"/>
    <sheet name="Cash Flow" sheetId="11" r:id="rId5"/>
  </sheets>
  <definedNames>
    <definedName name="_xlnm._FilterDatabase" localSheetId="0" hidden="1">'2023-24 in&amp;out'!$D$2:$D$608</definedName>
    <definedName name="_xlnm.Print_Area" localSheetId="2">'2025 in&amp;out'!$K$13:$P$37</definedName>
    <definedName name="_xlnm.Print_Area" localSheetId="4">'Cash Flow'!$O$26:$V$32</definedName>
    <definedName name="_xlnm.Print_Area" localSheetId="1">'P&amp;L 2024'!$B$2:$W$33</definedName>
    <definedName name="_xlnm.Print_Area" localSheetId="3">'P&amp;L 2025'!$Y$4:$AF$19</definedName>
  </definedNames>
  <calcPr calcId="191029"/>
</workbook>
</file>

<file path=xl/calcChain.xml><?xml version="1.0" encoding="utf-8"?>
<calcChain xmlns="http://schemas.openxmlformats.org/spreadsheetml/2006/main">
  <c r="V32" i="11" l="1"/>
  <c r="V31" i="11"/>
  <c r="S32" i="11"/>
  <c r="J503" i="21" l="1"/>
  <c r="F536" i="21" l="1"/>
  <c r="F524" i="21"/>
  <c r="F525" i="21" s="1"/>
  <c r="F526" i="21" s="1"/>
  <c r="F527" i="21" s="1"/>
  <c r="F528" i="21" s="1"/>
  <c r="F529" i="21" s="1"/>
  <c r="F530" i="21" s="1"/>
  <c r="F531" i="21" s="1"/>
  <c r="F532" i="21" s="1"/>
  <c r="F533" i="21" s="1"/>
  <c r="F534" i="21" s="1"/>
  <c r="F535" i="21" s="1"/>
  <c r="J477" i="21" l="1"/>
  <c r="K58" i="15"/>
  <c r="M20" i="20" l="1"/>
  <c r="L339" i="15" l="1"/>
  <c r="L338" i="15"/>
  <c r="K293" i="21"/>
  <c r="K292" i="21"/>
  <c r="K291" i="21"/>
  <c r="K290" i="21"/>
  <c r="K289" i="21"/>
  <c r="K288" i="21"/>
  <c r="K287" i="21"/>
  <c r="K286" i="21"/>
  <c r="K16" i="15"/>
  <c r="K19" i="15"/>
  <c r="K18" i="15"/>
  <c r="K17" i="15"/>
  <c r="K14" i="15"/>
  <c r="K13" i="15"/>
  <c r="K12" i="15"/>
  <c r="K11" i="15"/>
  <c r="I5" i="20"/>
  <c r="T32" i="20"/>
  <c r="T31" i="20"/>
  <c r="T30" i="20"/>
  <c r="T29" i="20"/>
  <c r="T28" i="20"/>
  <c r="T27" i="20"/>
  <c r="T26" i="20"/>
  <c r="T25" i="20"/>
  <c r="T24" i="20"/>
  <c r="T23" i="20"/>
  <c r="T22" i="20"/>
  <c r="T21" i="20"/>
  <c r="T20" i="20"/>
  <c r="T19" i="20"/>
  <c r="T18" i="20"/>
  <c r="T17" i="20"/>
  <c r="T16" i="20"/>
  <c r="T15" i="20"/>
  <c r="T14" i="20"/>
  <c r="T13" i="20"/>
  <c r="T12" i="20"/>
  <c r="T11" i="20"/>
  <c r="T10" i="20"/>
  <c r="T9" i="20"/>
  <c r="T8" i="20"/>
  <c r="T7" i="20"/>
  <c r="T5" i="20"/>
  <c r="Q31" i="20" l="1"/>
  <c r="Q30" i="20"/>
  <c r="Q29" i="20"/>
  <c r="Q28" i="20"/>
  <c r="Q27" i="20"/>
  <c r="Q26" i="20"/>
  <c r="Q25" i="20"/>
  <c r="Q24" i="20"/>
  <c r="Q23" i="20"/>
  <c r="Q22" i="20"/>
  <c r="Q21" i="20"/>
  <c r="Q20" i="20"/>
  <c r="Q19" i="20"/>
  <c r="Q18" i="20"/>
  <c r="Q17" i="20"/>
  <c r="Q16" i="20"/>
  <c r="M5" i="20"/>
  <c r="Q5" i="20"/>
  <c r="Q15" i="20"/>
  <c r="Q13" i="20"/>
  <c r="Q12" i="20"/>
  <c r="Q11" i="20"/>
  <c r="Q10" i="20"/>
  <c r="Q9" i="20"/>
  <c r="Q8" i="20"/>
  <c r="Q6" i="20"/>
  <c r="M31" i="20"/>
  <c r="M30" i="20"/>
  <c r="M29" i="20"/>
  <c r="M28" i="20"/>
  <c r="M27" i="20"/>
  <c r="M26" i="20"/>
  <c r="M25" i="20"/>
  <c r="M24" i="20"/>
  <c r="M23" i="20"/>
  <c r="M22" i="20"/>
  <c r="M21" i="20"/>
  <c r="M19" i="20"/>
  <c r="M18" i="20"/>
  <c r="M17" i="20"/>
  <c r="M16" i="20"/>
  <c r="M15" i="20"/>
  <c r="M13" i="20"/>
  <c r="M12" i="20"/>
  <c r="M11" i="20"/>
  <c r="M10" i="20"/>
  <c r="M9" i="20"/>
  <c r="M8" i="20"/>
  <c r="M6" i="20"/>
  <c r="F4" i="21"/>
  <c r="F5" i="21" s="1"/>
  <c r="F6" i="21" s="1"/>
  <c r="F7" i="21" s="1"/>
  <c r="F8" i="21" s="1"/>
  <c r="F9" i="21" s="1"/>
  <c r="F10" i="21" s="1"/>
  <c r="F11" i="21" s="1"/>
  <c r="F12" i="21" s="1"/>
  <c r="F13" i="21" s="1"/>
  <c r="F14" i="21" s="1"/>
  <c r="F15" i="21" s="1"/>
  <c r="F16" i="21" s="1"/>
  <c r="F17" i="21" s="1"/>
  <c r="F18" i="21" s="1"/>
  <c r="F19" i="21" s="1"/>
  <c r="F20" i="21" s="1"/>
  <c r="F21" i="21" s="1"/>
  <c r="F22" i="21" s="1"/>
  <c r="F23" i="21" s="1"/>
  <c r="F24" i="21" s="1"/>
  <c r="F25" i="21" s="1"/>
  <c r="F26" i="21" s="1"/>
  <c r="F27" i="21" s="1"/>
  <c r="F28" i="21" s="1"/>
  <c r="F29" i="21" s="1"/>
  <c r="F30" i="21" s="1"/>
  <c r="F31" i="21" s="1"/>
  <c r="F32" i="21" s="1"/>
  <c r="F33" i="21" s="1"/>
  <c r="F34" i="21" s="1"/>
  <c r="F35" i="21" s="1"/>
  <c r="F36" i="21" s="1"/>
  <c r="F37" i="21" s="1"/>
  <c r="F38" i="21" s="1"/>
  <c r="F39" i="21" s="1"/>
  <c r="F40" i="21" s="1"/>
  <c r="F41" i="21" s="1"/>
  <c r="F42" i="21" s="1"/>
  <c r="F43" i="21" s="1"/>
  <c r="F44" i="21" s="1"/>
  <c r="F45" i="21" s="1"/>
  <c r="F46" i="21" s="1"/>
  <c r="F47" i="21" s="1"/>
  <c r="F48" i="21" s="1"/>
  <c r="F49" i="21" s="1"/>
  <c r="F50" i="21" s="1"/>
  <c r="F51" i="21" s="1"/>
  <c r="F52" i="21" s="1"/>
  <c r="F53" i="21" s="1"/>
  <c r="F54" i="21" s="1"/>
  <c r="F55" i="21" s="1"/>
  <c r="F56" i="21" s="1"/>
  <c r="F57" i="21" s="1"/>
  <c r="F58" i="21" s="1"/>
  <c r="F59" i="21" s="1"/>
  <c r="F60" i="21" s="1"/>
  <c r="F61" i="21" s="1"/>
  <c r="F62" i="21" s="1"/>
  <c r="F63" i="21" s="1"/>
  <c r="F64" i="21" s="1"/>
  <c r="F65" i="21" s="1"/>
  <c r="F66" i="21" s="1"/>
  <c r="F67" i="21" s="1"/>
  <c r="F68" i="21" s="1"/>
  <c r="F69" i="21" s="1"/>
  <c r="F70" i="21" s="1"/>
  <c r="F71" i="21" s="1"/>
  <c r="F72" i="21" s="1"/>
  <c r="F73" i="21" s="1"/>
  <c r="F74" i="21" s="1"/>
  <c r="F75" i="21" s="1"/>
  <c r="F76" i="21" s="1"/>
  <c r="F77" i="21" s="1"/>
  <c r="F78" i="21" s="1"/>
  <c r="F79" i="21" s="1"/>
  <c r="F80" i="21" s="1"/>
  <c r="F81" i="21" s="1"/>
  <c r="F82" i="21" s="1"/>
  <c r="F83" i="21" s="1"/>
  <c r="F84" i="21" s="1"/>
  <c r="F85" i="21" s="1"/>
  <c r="F86" i="21" s="1"/>
  <c r="F87" i="21" s="1"/>
  <c r="F159" i="21" s="1"/>
  <c r="F160" i="21" s="1"/>
  <c r="F161" i="21" s="1"/>
  <c r="F162" i="21" s="1"/>
  <c r="F163" i="21" s="1"/>
  <c r="F164" i="21" s="1"/>
  <c r="F165" i="21" s="1"/>
  <c r="F166" i="21" s="1"/>
  <c r="F167" i="21" s="1"/>
  <c r="F168" i="21" s="1"/>
  <c r="F169" i="21" s="1"/>
  <c r="F170" i="21" s="1"/>
  <c r="F171" i="21" s="1"/>
  <c r="F172" i="21" s="1"/>
  <c r="F173" i="21" s="1"/>
  <c r="F174" i="21" s="1"/>
  <c r="F175" i="21" s="1"/>
  <c r="F176" i="21" s="1"/>
  <c r="F177" i="21" s="1"/>
  <c r="F178" i="21" s="1"/>
  <c r="F179" i="21" s="1"/>
  <c r="F180" i="21" s="1"/>
  <c r="F181" i="21" s="1"/>
  <c r="F182" i="21" s="1"/>
  <c r="F183" i="21" s="1"/>
  <c r="F184" i="21" s="1"/>
  <c r="F185" i="21" s="1"/>
  <c r="F186" i="21" s="1"/>
  <c r="F187" i="21" s="1"/>
  <c r="F188" i="21" s="1"/>
  <c r="F189" i="21" s="1"/>
  <c r="F190" i="21" s="1"/>
  <c r="F191" i="21" s="1"/>
  <c r="F192" i="21" s="1"/>
  <c r="F193" i="21" s="1"/>
  <c r="F194" i="21" s="1"/>
  <c r="F195" i="21" s="1"/>
  <c r="F196" i="21" s="1"/>
  <c r="F197" i="21" s="1"/>
  <c r="F198" i="21" s="1"/>
  <c r="F199" i="21" s="1"/>
  <c r="F200" i="21" s="1"/>
  <c r="F201" i="21" s="1"/>
  <c r="F202" i="21" s="1"/>
  <c r="F203" i="21" s="1"/>
  <c r="F204" i="21" s="1"/>
  <c r="F205" i="21" s="1"/>
  <c r="F206" i="21" s="1"/>
  <c r="F207" i="21" s="1"/>
  <c r="F208" i="21" s="1"/>
  <c r="F209" i="21" s="1"/>
  <c r="F210" i="21" s="1"/>
  <c r="F211" i="21" s="1"/>
  <c r="F212" i="21" s="1"/>
  <c r="F213" i="21" s="1"/>
  <c r="F214" i="21" s="1"/>
  <c r="F215" i="21" s="1"/>
  <c r="F216" i="21" s="1"/>
  <c r="F217" i="21" s="1"/>
  <c r="F218" i="21" s="1"/>
  <c r="F219" i="21" s="1"/>
  <c r="F220" i="21" s="1"/>
  <c r="F221" i="21" s="1"/>
  <c r="F222" i="21" s="1"/>
  <c r="F223" i="21" s="1"/>
  <c r="F224" i="21" s="1"/>
  <c r="F225" i="21" s="1"/>
  <c r="F226" i="21" s="1"/>
  <c r="F227" i="21" s="1"/>
  <c r="F228" i="21" s="1"/>
  <c r="F229" i="21" s="1"/>
  <c r="F230" i="21" s="1"/>
  <c r="F231" i="21" s="1"/>
  <c r="F232" i="21" s="1"/>
  <c r="F233" i="21" s="1"/>
  <c r="F234" i="21" s="1"/>
  <c r="F235" i="21" s="1"/>
  <c r="F284" i="21" s="1"/>
  <c r="F285" i="21" s="1"/>
  <c r="F286" i="21" s="1"/>
  <c r="F287" i="21" s="1"/>
  <c r="F288" i="21" s="1"/>
  <c r="F289" i="21" s="1"/>
  <c r="F290" i="21" s="1"/>
  <c r="F291" i="21" s="1"/>
  <c r="F292" i="21" s="1"/>
  <c r="F293" i="21" s="1"/>
  <c r="F294" i="21" s="1"/>
  <c r="F295" i="21" s="1"/>
  <c r="F296" i="21" s="1"/>
  <c r="F297" i="21" s="1"/>
  <c r="F298" i="21" s="1"/>
  <c r="F299" i="21" s="1"/>
  <c r="F300" i="21" s="1"/>
  <c r="F301" i="21" s="1"/>
  <c r="F302" i="21" s="1"/>
  <c r="F303" i="21" s="1"/>
  <c r="F304" i="21" s="1"/>
  <c r="F305" i="21" s="1"/>
  <c r="F306" i="21" s="1"/>
  <c r="F307" i="21" s="1"/>
  <c r="F308" i="21" s="1"/>
  <c r="F309" i="21" s="1"/>
  <c r="F310" i="21" s="1"/>
  <c r="F311" i="21" s="1"/>
  <c r="F312" i="21" s="1"/>
  <c r="F313" i="21" s="1"/>
  <c r="F314" i="21" s="1"/>
  <c r="F315" i="21" s="1"/>
  <c r="F316" i="21" s="1"/>
  <c r="F317" i="21" s="1"/>
  <c r="F318" i="21" s="1"/>
  <c r="F319" i="21" s="1"/>
  <c r="F320" i="21" s="1"/>
  <c r="F321" i="21" s="1"/>
  <c r="F322" i="21" s="1"/>
  <c r="F323" i="21" s="1"/>
  <c r="F324" i="21" s="1"/>
  <c r="F325" i="21" s="1"/>
  <c r="F326" i="21" s="1"/>
  <c r="F327" i="21" s="1"/>
  <c r="F328" i="21" s="1"/>
  <c r="F329" i="21" s="1"/>
  <c r="F330" i="21" s="1"/>
  <c r="F331" i="21" s="1"/>
  <c r="F332" i="21" s="1"/>
  <c r="F333" i="21" s="1"/>
  <c r="F334" i="21" s="1"/>
  <c r="F335" i="21" s="1"/>
  <c r="F336" i="21" s="1"/>
  <c r="F337" i="21" s="1"/>
  <c r="F338" i="21" s="1"/>
  <c r="F339" i="21" s="1"/>
  <c r="F340" i="21" s="1"/>
  <c r="F341" i="21" s="1"/>
  <c r="F342" i="21" s="1"/>
  <c r="F343" i="21" s="1"/>
  <c r="F344" i="21" s="1"/>
  <c r="F345" i="21" s="1"/>
  <c r="F346" i="21" s="1"/>
  <c r="F347" i="21" s="1"/>
  <c r="F348" i="21" s="1"/>
  <c r="F349" i="21" s="1"/>
  <c r="F350" i="21" s="1"/>
  <c r="F351" i="21" s="1"/>
  <c r="F352" i="21" s="1"/>
  <c r="F353" i="21" s="1"/>
  <c r="F354" i="21" s="1"/>
  <c r="F355" i="21" s="1"/>
  <c r="F356" i="21" s="1"/>
  <c r="F357" i="21" s="1"/>
  <c r="F358" i="21" s="1"/>
  <c r="F359" i="21" s="1"/>
  <c r="F360" i="21" s="1"/>
  <c r="F361" i="21" s="1"/>
  <c r="F362" i="21" s="1"/>
  <c r="F363" i="21" s="1"/>
  <c r="F364" i="21" s="1"/>
  <c r="F365" i="21" s="1"/>
  <c r="F366" i="21" s="1"/>
  <c r="F367" i="21" s="1"/>
  <c r="F368" i="21" s="1"/>
  <c r="F369" i="21" s="1"/>
  <c r="F370" i="21" s="1"/>
  <c r="F371" i="21" s="1"/>
  <c r="F372" i="21" s="1"/>
  <c r="F373" i="21" s="1"/>
  <c r="F374" i="21" s="1"/>
  <c r="F375" i="21" s="1"/>
  <c r="F376" i="21" s="1"/>
  <c r="F377" i="21" s="1"/>
  <c r="F378" i="21" s="1"/>
  <c r="F379" i="21" s="1"/>
  <c r="F380" i="21" s="1"/>
  <c r="F381" i="21" s="1"/>
  <c r="F382" i="21" s="1"/>
  <c r="F383" i="21" s="1"/>
  <c r="F384" i="21" s="1"/>
  <c r="F385" i="21" s="1"/>
  <c r="F386" i="21" s="1"/>
  <c r="F387" i="21" s="1"/>
  <c r="F388" i="21" s="1"/>
  <c r="F389" i="21" s="1"/>
  <c r="F390" i="21" s="1"/>
  <c r="F391" i="21" s="1"/>
  <c r="F392" i="21" s="1"/>
  <c r="F393" i="21" s="1"/>
  <c r="F394" i="21" s="1"/>
  <c r="F395" i="21" s="1"/>
  <c r="F396" i="21" s="1"/>
  <c r="F397" i="21" s="1"/>
  <c r="F398" i="21" s="1"/>
  <c r="F399" i="21" s="1"/>
  <c r="F400" i="21" s="1"/>
  <c r="F401" i="21" s="1"/>
  <c r="F402" i="21" s="1"/>
  <c r="F403" i="21" s="1"/>
  <c r="F404" i="21" s="1"/>
  <c r="F405" i="21" s="1"/>
  <c r="F406" i="21" s="1"/>
  <c r="F407" i="21" s="1"/>
  <c r="F408" i="21" s="1"/>
  <c r="F409" i="21" s="1"/>
  <c r="F410" i="21" s="1"/>
  <c r="F411" i="21" s="1"/>
  <c r="F412" i="21" s="1"/>
  <c r="F413" i="21" s="1"/>
  <c r="F414" i="21" s="1"/>
  <c r="F415" i="21" s="1"/>
  <c r="F416" i="21" s="1"/>
  <c r="F417" i="21" s="1"/>
  <c r="F418" i="21" s="1"/>
  <c r="F419" i="21" s="1"/>
  <c r="F420" i="21" s="1"/>
  <c r="F421" i="21" s="1"/>
  <c r="F422" i="21" s="1"/>
  <c r="F423" i="21" s="1"/>
  <c r="F424" i="21" s="1"/>
  <c r="F425" i="21" s="1"/>
  <c r="F426" i="21" s="1"/>
  <c r="F427" i="21" s="1"/>
  <c r="F428" i="21" s="1"/>
  <c r="F429" i="21" s="1"/>
  <c r="F430" i="21" s="1"/>
  <c r="F431" i="21" s="1"/>
  <c r="F432" i="21" s="1"/>
  <c r="F433" i="21" s="1"/>
  <c r="F434" i="21" s="1"/>
  <c r="F435" i="21" s="1"/>
  <c r="F436" i="21" s="1"/>
  <c r="F437" i="21" s="1"/>
  <c r="F438" i="21" s="1"/>
  <c r="F439" i="21" s="1"/>
  <c r="F440" i="21" s="1"/>
  <c r="F441" i="21" s="1"/>
  <c r="F442" i="21" s="1"/>
  <c r="F443" i="21" s="1"/>
  <c r="F444" i="21" s="1"/>
  <c r="F445" i="21" s="1"/>
  <c r="F446" i="21" s="1"/>
  <c r="F447" i="21" s="1"/>
  <c r="F448" i="21" s="1"/>
  <c r="F449" i="21" s="1"/>
  <c r="F450" i="21" s="1"/>
  <c r="F451" i="21" s="1"/>
  <c r="F452" i="21" s="1"/>
  <c r="F453" i="21" s="1"/>
  <c r="F454" i="21" s="1"/>
  <c r="F455" i="21" s="1"/>
  <c r="F456" i="21" s="1"/>
  <c r="F457" i="21" s="1"/>
  <c r="F458" i="21" s="1"/>
  <c r="F459" i="21" s="1"/>
  <c r="F460" i="21" s="1"/>
  <c r="F461" i="21" s="1"/>
  <c r="F462" i="21" s="1"/>
  <c r="F463" i="21" s="1"/>
  <c r="F464" i="21" s="1"/>
  <c r="F465" i="21" s="1"/>
  <c r="F466" i="21" s="1"/>
  <c r="F467" i="21" s="1"/>
  <c r="F468" i="21" s="1"/>
  <c r="F469" i="21" s="1"/>
  <c r="F470" i="21" s="1"/>
  <c r="F471" i="21" s="1"/>
  <c r="F472" i="21" s="1"/>
  <c r="F473" i="21" s="1"/>
  <c r="F474" i="21" s="1"/>
  <c r="F475" i="21" s="1"/>
  <c r="F476" i="21" s="1"/>
  <c r="F477" i="21" s="1"/>
  <c r="F478" i="21" s="1"/>
  <c r="F479" i="21" s="1"/>
  <c r="F480" i="21" s="1"/>
  <c r="F481" i="21" s="1"/>
  <c r="F482" i="21" s="1"/>
  <c r="F483" i="21" s="1"/>
  <c r="F484" i="21" s="1"/>
  <c r="F485" i="21" s="1"/>
  <c r="F486" i="21" s="1"/>
  <c r="F487" i="21" s="1"/>
  <c r="F488" i="21" s="1"/>
  <c r="F489" i="21" s="1"/>
  <c r="F490" i="21" s="1"/>
  <c r="F491" i="21" s="1"/>
  <c r="F492" i="21" s="1"/>
  <c r="F493" i="21" s="1"/>
  <c r="F494" i="21" s="1"/>
  <c r="F495" i="21" s="1"/>
  <c r="F496" i="21" s="1"/>
  <c r="F497" i="21" s="1"/>
  <c r="F498" i="21" s="1"/>
  <c r="F499" i="21" s="1"/>
  <c r="F500" i="21" s="1"/>
  <c r="F501" i="21" s="1"/>
  <c r="F502" i="21" s="1"/>
  <c r="F503" i="21" s="1"/>
  <c r="F504" i="21" s="1"/>
  <c r="F505" i="21" s="1"/>
  <c r="F506" i="21" s="1"/>
  <c r="F507" i="21" s="1"/>
  <c r="F508" i="21" s="1"/>
  <c r="F509" i="21" s="1"/>
  <c r="F510" i="21" s="1"/>
  <c r="F511" i="21" s="1"/>
  <c r="F512" i="21" s="1"/>
  <c r="F513" i="21" s="1"/>
  <c r="F514" i="21" s="1"/>
  <c r="F515" i="21" s="1"/>
  <c r="F516" i="21" s="1"/>
  <c r="F517" i="21" s="1"/>
  <c r="F518" i="21" s="1"/>
  <c r="F519" i="21" s="1"/>
  <c r="F520" i="21" s="1"/>
  <c r="F521" i="21" s="1"/>
  <c r="F522" i="21" s="1"/>
  <c r="F523" i="21" s="1"/>
  <c r="I31" i="20"/>
  <c r="I30" i="20"/>
  <c r="I29" i="20"/>
  <c r="I28" i="20"/>
  <c r="I27" i="20"/>
  <c r="I26" i="20"/>
  <c r="I25" i="20"/>
  <c r="I24" i="20"/>
  <c r="I23" i="20"/>
  <c r="I22" i="20"/>
  <c r="I21" i="20"/>
  <c r="I20" i="20"/>
  <c r="I19" i="20"/>
  <c r="I18" i="20"/>
  <c r="I17" i="20"/>
  <c r="I16" i="20"/>
  <c r="I15" i="20"/>
  <c r="I13" i="20"/>
  <c r="I12" i="20"/>
  <c r="I11" i="20"/>
  <c r="I10" i="20"/>
  <c r="I9" i="20"/>
  <c r="I8" i="20"/>
  <c r="I6" i="20"/>
  <c r="I7" i="20" s="1"/>
  <c r="E31" i="20"/>
  <c r="E30" i="20"/>
  <c r="E29" i="20"/>
  <c r="E27" i="20"/>
  <c r="E28" i="20"/>
  <c r="E26" i="20"/>
  <c r="E25" i="20"/>
  <c r="E24" i="20"/>
  <c r="E23" i="20"/>
  <c r="E22" i="20"/>
  <c r="E21" i="20"/>
  <c r="E20" i="20"/>
  <c r="E19" i="20"/>
  <c r="E18" i="20"/>
  <c r="E17" i="20"/>
  <c r="E16" i="20"/>
  <c r="E15" i="20"/>
  <c r="E13" i="20"/>
  <c r="E12" i="20"/>
  <c r="E11" i="20"/>
  <c r="E10" i="20"/>
  <c r="E9" i="20"/>
  <c r="E8" i="20"/>
  <c r="E5" i="20"/>
  <c r="E6" i="20"/>
  <c r="U12" i="20" l="1"/>
  <c r="V12" i="20" s="1"/>
  <c r="W12" i="20" s="1"/>
  <c r="U5" i="20"/>
  <c r="U11" i="20"/>
  <c r="U6" i="20"/>
  <c r="U13" i="20"/>
  <c r="U8" i="20"/>
  <c r="U9" i="20"/>
  <c r="U10" i="20"/>
  <c r="Q32" i="20"/>
  <c r="R32" i="20" s="1"/>
  <c r="S32" i="20" s="1"/>
  <c r="U19" i="20"/>
  <c r="V19" i="20" s="1"/>
  <c r="W19" i="20" s="1"/>
  <c r="Q7" i="20"/>
  <c r="Q14" i="20" s="1"/>
  <c r="U27" i="20"/>
  <c r="V27" i="20" s="1"/>
  <c r="W27" i="20" s="1"/>
  <c r="U25" i="20"/>
  <c r="V25" i="20" s="1"/>
  <c r="W25" i="20" s="1"/>
  <c r="I32" i="20"/>
  <c r="J32" i="20" s="1"/>
  <c r="K32" i="20" s="1"/>
  <c r="E7" i="20"/>
  <c r="E14" i="20" s="1"/>
  <c r="U21" i="20"/>
  <c r="V21" i="20" s="1"/>
  <c r="W21" i="20" s="1"/>
  <c r="I14" i="20"/>
  <c r="U23" i="20"/>
  <c r="V23" i="20" s="1"/>
  <c r="W23" i="20" s="1"/>
  <c r="U29" i="20"/>
  <c r="V29" i="20" s="1"/>
  <c r="W29" i="20" s="1"/>
  <c r="U20" i="20"/>
  <c r="V20" i="20" s="1"/>
  <c r="W20" i="20" s="1"/>
  <c r="U22" i="20"/>
  <c r="V22" i="20" s="1"/>
  <c r="W22" i="20" s="1"/>
  <c r="U16" i="20"/>
  <c r="V16" i="20" s="1"/>
  <c r="W16" i="20" s="1"/>
  <c r="U18" i="20"/>
  <c r="U24" i="20"/>
  <c r="V24" i="20" s="1"/>
  <c r="W24" i="20" s="1"/>
  <c r="U26" i="20"/>
  <c r="V26" i="20" s="1"/>
  <c r="W26" i="20" s="1"/>
  <c r="U28" i="20"/>
  <c r="V28" i="20" s="1"/>
  <c r="W28" i="20" s="1"/>
  <c r="M32" i="20"/>
  <c r="N32" i="20" s="1"/>
  <c r="O32" i="20" s="1"/>
  <c r="U17" i="20"/>
  <c r="V17" i="20" s="1"/>
  <c r="W17" i="20" s="1"/>
  <c r="U30" i="20"/>
  <c r="V30" i="20" s="1"/>
  <c r="W30" i="20" s="1"/>
  <c r="U15" i="20"/>
  <c r="M7" i="20"/>
  <c r="E32" i="20"/>
  <c r="F32" i="20" s="1"/>
  <c r="G32" i="20" s="1"/>
  <c r="V6" i="20" l="1"/>
  <c r="V10" i="20"/>
  <c r="W10" i="20" s="1"/>
  <c r="V9" i="20"/>
  <c r="W9" i="20" s="1"/>
  <c r="V8" i="20"/>
  <c r="W8" i="20" s="1"/>
  <c r="V13" i="20"/>
  <c r="V11" i="20"/>
  <c r="V5" i="20"/>
  <c r="W5" i="20" s="1"/>
  <c r="V18" i="20"/>
  <c r="W18" i="20" s="1"/>
  <c r="U7" i="20"/>
  <c r="F7" i="20"/>
  <c r="G7" i="20" s="1"/>
  <c r="R7" i="20"/>
  <c r="S7" i="20" s="1"/>
  <c r="J7" i="20"/>
  <c r="K7" i="20" s="1"/>
  <c r="M14" i="20"/>
  <c r="U14" i="20" s="1"/>
  <c r="N7" i="20"/>
  <c r="O7" i="20" s="1"/>
  <c r="R14" i="20"/>
  <c r="S14" i="20" s="1"/>
  <c r="Q33" i="20"/>
  <c r="R33" i="20" s="1"/>
  <c r="S33" i="20" s="1"/>
  <c r="U32" i="20"/>
  <c r="V15" i="20"/>
  <c r="F14" i="20"/>
  <c r="G14" i="20" s="1"/>
  <c r="E33" i="20"/>
  <c r="F33" i="20" s="1"/>
  <c r="G33" i="20" s="1"/>
  <c r="J14" i="20"/>
  <c r="K14" i="20" s="1"/>
  <c r="I33" i="20"/>
  <c r="J33" i="20" s="1"/>
  <c r="K33" i="20" s="1"/>
  <c r="N14" i="20" l="1"/>
  <c r="O14" i="20" s="1"/>
  <c r="M33" i="20"/>
  <c r="N33" i="20" s="1"/>
  <c r="O33" i="20" s="1"/>
  <c r="W15" i="20"/>
  <c r="V32" i="20"/>
  <c r="W32" i="20" s="1"/>
  <c r="U33" i="20"/>
  <c r="V33" i="20" s="1"/>
  <c r="W33" i="20" s="1"/>
  <c r="V7" i="20"/>
  <c r="W7" i="20" l="1"/>
  <c r="V14" i="20"/>
  <c r="W14" i="20" s="1"/>
  <c r="S71" i="11" l="1"/>
  <c r="S68" i="11"/>
  <c r="S69" i="11" s="1"/>
  <c r="S72" i="11" s="1"/>
  <c r="W58" i="11"/>
  <c r="L33" i="11"/>
  <c r="L30" i="11"/>
  <c r="L31" i="11" s="1"/>
  <c r="L34" i="11" s="1"/>
  <c r="E54" i="11"/>
  <c r="E51" i="11"/>
  <c r="E52" i="11" s="1"/>
  <c r="B34" i="11"/>
  <c r="E45" i="11"/>
  <c r="D45" i="11"/>
  <c r="C45" i="11"/>
  <c r="U31" i="11"/>
  <c r="T8" i="11"/>
  <c r="E55" i="11" l="1"/>
  <c r="K559" i="15"/>
  <c r="Q29" i="16" l="1"/>
  <c r="Q31" i="16"/>
  <c r="Q30" i="16"/>
  <c r="Q28" i="16"/>
  <c r="Q27" i="16"/>
  <c r="Q26" i="16"/>
  <c r="Q25" i="16"/>
  <c r="Q24" i="16"/>
  <c r="Q23" i="16"/>
  <c r="Q22" i="16"/>
  <c r="Q20" i="16"/>
  <c r="Q21" i="16"/>
  <c r="Q19" i="16"/>
  <c r="E8" i="16"/>
  <c r="K327" i="15" l="1"/>
  <c r="L445" i="15"/>
  <c r="M292" i="15" l="1"/>
  <c r="M291" i="15"/>
  <c r="J262" i="15" l="1"/>
  <c r="X55" i="15" l="1"/>
  <c r="X54" i="15"/>
  <c r="X53" i="15"/>
  <c r="X52" i="15"/>
  <c r="X51" i="15"/>
  <c r="X50" i="15"/>
  <c r="X49" i="15"/>
  <c r="X48" i="15"/>
  <c r="Q56" i="15"/>
  <c r="R56" i="15" s="1"/>
  <c r="Q55" i="15"/>
  <c r="R55" i="15" s="1"/>
  <c r="Q54" i="15"/>
  <c r="R54" i="15" s="1"/>
  <c r="Q53" i="15"/>
  <c r="R53" i="15" s="1"/>
  <c r="Q52" i="15"/>
  <c r="R52" i="15" s="1"/>
  <c r="Q51" i="15"/>
  <c r="R51" i="15" s="1"/>
  <c r="Q50" i="15"/>
  <c r="R50" i="15" s="1"/>
  <c r="Q49" i="15"/>
  <c r="R49" i="15" s="1"/>
  <c r="Q48" i="15"/>
  <c r="R48" i="15" s="1"/>
  <c r="Q62" i="15"/>
  <c r="R62" i="15" s="1"/>
  <c r="Q61" i="15"/>
  <c r="R61" i="15" s="1"/>
  <c r="Q60" i="15"/>
  <c r="R60" i="15" s="1"/>
  <c r="Q59" i="15"/>
  <c r="R59" i="15" s="1"/>
  <c r="Q58" i="15"/>
  <c r="R58" i="15" s="1"/>
  <c r="Q57" i="15"/>
  <c r="R57" i="15" s="1"/>
  <c r="Q18" i="16" l="1"/>
  <c r="Q17" i="16"/>
  <c r="Q16" i="16"/>
  <c r="Q15" i="16"/>
  <c r="Q13" i="16"/>
  <c r="Q12" i="16"/>
  <c r="Q11" i="16"/>
  <c r="Q10" i="16"/>
  <c r="Q9" i="16"/>
  <c r="Q8" i="16"/>
  <c r="Q6" i="16"/>
  <c r="Q5" i="16"/>
  <c r="M27" i="16"/>
  <c r="M26" i="16"/>
  <c r="M31" i="16"/>
  <c r="M30" i="16"/>
  <c r="M29" i="16"/>
  <c r="M28" i="16"/>
  <c r="M25" i="16"/>
  <c r="M24" i="16"/>
  <c r="M23" i="16"/>
  <c r="M22" i="16"/>
  <c r="M21" i="16"/>
  <c r="M20" i="16"/>
  <c r="M19" i="16"/>
  <c r="M18" i="16"/>
  <c r="M17" i="16"/>
  <c r="M16" i="16"/>
  <c r="M15" i="16"/>
  <c r="M13" i="16"/>
  <c r="M12" i="16"/>
  <c r="M11" i="16"/>
  <c r="M10" i="16"/>
  <c r="M9" i="16"/>
  <c r="M8" i="16"/>
  <c r="M6" i="16"/>
  <c r="M5" i="16"/>
  <c r="E13" i="16"/>
  <c r="I31" i="16"/>
  <c r="E31" i="16"/>
  <c r="I30" i="16"/>
  <c r="I29" i="16"/>
  <c r="I28" i="16"/>
  <c r="I27" i="16"/>
  <c r="I26" i="16"/>
  <c r="I25" i="16"/>
  <c r="Q7" i="16" l="1"/>
  <c r="Q14" i="16" s="1"/>
  <c r="Q32" i="16"/>
  <c r="M32" i="16"/>
  <c r="M7" i="16"/>
  <c r="M14" i="16" s="1"/>
  <c r="Q33" i="16" l="1"/>
  <c r="R33" i="16" s="1"/>
  <c r="S33" i="16" s="1"/>
  <c r="M33" i="16"/>
  <c r="N33" i="16" s="1"/>
  <c r="O33" i="16" s="1"/>
  <c r="I24" i="16"/>
  <c r="I23" i="16"/>
  <c r="I22" i="16"/>
  <c r="I21" i="16"/>
  <c r="I20" i="16"/>
  <c r="I19" i="16"/>
  <c r="I18" i="16"/>
  <c r="I16" i="16"/>
  <c r="I17" i="16"/>
  <c r="I15" i="16"/>
  <c r="I13" i="16"/>
  <c r="U13" i="16" s="1"/>
  <c r="V13" i="16" s="1"/>
  <c r="I12" i="16"/>
  <c r="I11" i="16"/>
  <c r="I10" i="16"/>
  <c r="I9" i="16"/>
  <c r="I8" i="16"/>
  <c r="I6" i="16"/>
  <c r="I5" i="16"/>
  <c r="E11" i="16"/>
  <c r="E12" i="16"/>
  <c r="E30" i="16"/>
  <c r="E29" i="16"/>
  <c r="E28" i="16"/>
  <c r="E27" i="16"/>
  <c r="E26" i="16"/>
  <c r="E25" i="16"/>
  <c r="E24" i="16"/>
  <c r="E23" i="16"/>
  <c r="E22" i="16"/>
  <c r="E21" i="16"/>
  <c r="E20" i="16"/>
  <c r="E19" i="16"/>
  <c r="E18" i="16"/>
  <c r="E17" i="16"/>
  <c r="E16" i="16"/>
  <c r="E15" i="16"/>
  <c r="E10" i="16"/>
  <c r="E9" i="16"/>
  <c r="E6" i="16"/>
  <c r="E5" i="16"/>
  <c r="I32" i="16" l="1"/>
  <c r="J32" i="16" s="1"/>
  <c r="K32" i="16" s="1"/>
  <c r="N32" i="16"/>
  <c r="O32" i="16" s="1"/>
  <c r="E32" i="16"/>
  <c r="F32" i="16" s="1"/>
  <c r="G32" i="16" s="1"/>
  <c r="R32" i="16"/>
  <c r="S32" i="16" s="1"/>
  <c r="I7" i="16"/>
  <c r="I14" i="16" s="1"/>
  <c r="I33" i="16" s="1"/>
  <c r="J33" i="16" s="1"/>
  <c r="K33" i="16" s="1"/>
  <c r="U5" i="16"/>
  <c r="U10" i="16"/>
  <c r="V10" i="16" s="1"/>
  <c r="W10" i="16" s="1"/>
  <c r="N7" i="16"/>
  <c r="O7" i="16" s="1"/>
  <c r="V11" i="16"/>
  <c r="U15" i="16"/>
  <c r="U21" i="16"/>
  <c r="V21" i="16" s="1"/>
  <c r="W21" i="16" s="1"/>
  <c r="U28" i="16"/>
  <c r="V28" i="16" s="1"/>
  <c r="W28" i="16" s="1"/>
  <c r="U9" i="16"/>
  <c r="V9" i="16" s="1"/>
  <c r="W9" i="16" s="1"/>
  <c r="U29" i="16"/>
  <c r="V29" i="16" s="1"/>
  <c r="W29" i="16" s="1"/>
  <c r="U30" i="16"/>
  <c r="V30" i="16" s="1"/>
  <c r="W30" i="16" s="1"/>
  <c r="U26" i="16"/>
  <c r="V26" i="16" s="1"/>
  <c r="W26" i="16" s="1"/>
  <c r="U27" i="16"/>
  <c r="V27" i="16" s="1"/>
  <c r="W27" i="16" s="1"/>
  <c r="U24" i="16"/>
  <c r="V24" i="16" s="1"/>
  <c r="W24" i="16" s="1"/>
  <c r="U16" i="16"/>
  <c r="V16" i="16" s="1"/>
  <c r="W16" i="16" s="1"/>
  <c r="U19" i="16"/>
  <c r="V19" i="16" s="1"/>
  <c r="W19" i="16" s="1"/>
  <c r="U17" i="16"/>
  <c r="V17" i="16" s="1"/>
  <c r="W17" i="16" s="1"/>
  <c r="U22" i="16"/>
  <c r="V22" i="16" s="1"/>
  <c r="W22" i="16" s="1"/>
  <c r="U25" i="16"/>
  <c r="V25" i="16" s="1"/>
  <c r="W25" i="16" s="1"/>
  <c r="U23" i="16"/>
  <c r="V23" i="16" s="1"/>
  <c r="W23" i="16" s="1"/>
  <c r="U8" i="16"/>
  <c r="V8" i="16" s="1"/>
  <c r="W8" i="16" s="1"/>
  <c r="U12" i="16"/>
  <c r="V12" i="16" s="1"/>
  <c r="W12" i="16" s="1"/>
  <c r="U18" i="16"/>
  <c r="V18" i="16" s="1"/>
  <c r="W18" i="16" s="1"/>
  <c r="U20" i="16"/>
  <c r="V20" i="16" s="1"/>
  <c r="W20" i="16" s="1"/>
  <c r="U6" i="16"/>
  <c r="V6" i="16" s="1"/>
  <c r="W6" i="16" s="1"/>
  <c r="E7" i="16"/>
  <c r="E14" i="16" s="1"/>
  <c r="E33" i="16" s="1"/>
  <c r="F33" i="16" s="1"/>
  <c r="G33" i="16" s="1"/>
  <c r="R7" i="16"/>
  <c r="S7" i="16" s="1"/>
  <c r="V5" i="16" l="1"/>
  <c r="W5" i="16" s="1"/>
  <c r="U32" i="16"/>
  <c r="N14" i="16"/>
  <c r="O14" i="16" s="1"/>
  <c r="U7" i="16"/>
  <c r="U14" i="16" s="1"/>
  <c r="J7" i="16"/>
  <c r="K7" i="16" s="1"/>
  <c r="F14" i="16"/>
  <c r="G14" i="16" s="1"/>
  <c r="F7" i="16"/>
  <c r="G7" i="16" s="1"/>
  <c r="V15" i="16"/>
  <c r="J14" i="16"/>
  <c r="K14" i="16" s="1"/>
  <c r="R14" i="16"/>
  <c r="S14" i="16" s="1"/>
  <c r="T31" i="11"/>
  <c r="R31" i="11"/>
  <c r="S31" i="11"/>
  <c r="S8" i="11"/>
  <c r="R8" i="11"/>
  <c r="U33" i="16" l="1"/>
  <c r="V33" i="16" s="1"/>
  <c r="W33" i="16" s="1"/>
  <c r="U32" i="11"/>
  <c r="T32" i="11"/>
  <c r="W15" i="16"/>
  <c r="V32" i="16"/>
  <c r="W32" i="16" s="1"/>
  <c r="V7" i="16"/>
  <c r="V14" i="16" s="1"/>
  <c r="W7" i="16" l="1"/>
  <c r="W14" i="16"/>
  <c r="B8" i="11" l="1"/>
  <c r="C4" i="11" s="1"/>
  <c r="B13" i="11"/>
  <c r="C9" i="11" s="1"/>
  <c r="C13" i="11" s="1"/>
  <c r="D9" i="11" s="1"/>
  <c r="D13" i="11" s="1"/>
  <c r="E9" i="11" s="1"/>
  <c r="E13" i="11" s="1"/>
  <c r="C8" i="11" l="1"/>
  <c r="D4" i="11" s="1"/>
  <c r="B15" i="11"/>
  <c r="G9" i="11"/>
  <c r="G13" i="11" s="1"/>
  <c r="H9" i="11" s="1"/>
  <c r="H13" i="11" s="1"/>
  <c r="I9" i="11" s="1"/>
  <c r="I13" i="11" s="1"/>
  <c r="J9" i="11" s="1"/>
  <c r="J13" i="11" s="1"/>
  <c r="D8" i="11" l="1"/>
  <c r="C15" i="11"/>
  <c r="E4" i="11" l="1"/>
  <c r="E8" i="11" s="1"/>
  <c r="D15" i="11"/>
  <c r="E15" i="11" l="1"/>
  <c r="G4" i="11"/>
  <c r="G8" i="11" s="1"/>
  <c r="H4" i="11" s="1"/>
  <c r="H8" i="11" s="1"/>
  <c r="G15" i="11"/>
  <c r="I4" i="11" l="1"/>
  <c r="I8" i="11" s="1"/>
  <c r="H15" i="11"/>
  <c r="I15" i="11" l="1"/>
  <c r="J4" i="11"/>
  <c r="J8" i="11" s="1"/>
  <c r="J15" i="11" s="1"/>
  <c r="F4" i="15" l="1"/>
  <c r="F5" i="15" s="1"/>
  <c r="F6" i="15" s="1"/>
  <c r="F7" i="15" s="1"/>
  <c r="F8" i="15" s="1"/>
  <c r="F9" i="15" s="1"/>
  <c r="F10" i="15" s="1"/>
  <c r="F11" i="15" s="1"/>
  <c r="F12" i="15" s="1"/>
  <c r="F13" i="15" s="1"/>
  <c r="F14" i="15" s="1"/>
  <c r="F15" i="15" s="1"/>
  <c r="F16" i="15" s="1"/>
  <c r="F17" i="15" s="1"/>
  <c r="F18" i="15" s="1"/>
  <c r="F19" i="15" s="1"/>
  <c r="F20" i="15" s="1"/>
  <c r="F21" i="15" s="1"/>
  <c r="F22" i="15" s="1"/>
  <c r="F23" i="15" s="1"/>
  <c r="F24" i="15" s="1"/>
  <c r="F25" i="15" s="1"/>
  <c r="F26" i="15" s="1"/>
  <c r="F27" i="15" s="1"/>
  <c r="F28" i="15" s="1"/>
  <c r="F29" i="15" s="1"/>
  <c r="F30" i="15" s="1"/>
  <c r="F31" i="15" s="1"/>
  <c r="F32" i="15" s="1"/>
  <c r="F33" i="15" s="1"/>
  <c r="F34" i="15" s="1"/>
  <c r="F35" i="15" s="1"/>
  <c r="F36" i="15" s="1"/>
  <c r="F37" i="15" s="1"/>
  <c r="F38" i="15" s="1"/>
  <c r="F39" i="15" s="1"/>
  <c r="F40" i="15" s="1"/>
  <c r="F41" i="15" s="1"/>
  <c r="F42" i="15" s="1"/>
  <c r="F43" i="15" s="1"/>
  <c r="F44" i="15" s="1"/>
  <c r="F45" i="15" s="1"/>
  <c r="F46" i="15" s="1"/>
  <c r="F47" i="15" s="1"/>
  <c r="F48" i="15" s="1"/>
  <c r="F49" i="15" s="1"/>
  <c r="F50" i="15" s="1"/>
  <c r="F51" i="15" s="1"/>
  <c r="F52" i="15" s="1"/>
  <c r="F53" i="15" s="1"/>
  <c r="F54" i="15" s="1"/>
  <c r="F55" i="15" s="1"/>
  <c r="F56" i="15" s="1"/>
  <c r="F57" i="15" s="1"/>
  <c r="F58" i="15" s="1"/>
  <c r="F59" i="15" s="1"/>
  <c r="F60" i="15" s="1"/>
  <c r="F61" i="15" s="1"/>
  <c r="F62" i="15" s="1"/>
  <c r="F63" i="15" s="1"/>
  <c r="F64" i="15" s="1"/>
  <c r="F65" i="15" s="1"/>
  <c r="F66" i="15" s="1"/>
  <c r="F67" i="15" s="1"/>
  <c r="F68" i="15" s="1"/>
  <c r="F69" i="15" s="1"/>
  <c r="F70" i="15" s="1"/>
  <c r="F71" i="15" s="1"/>
  <c r="F72" i="15" s="1"/>
  <c r="F73" i="15" s="1"/>
  <c r="F74" i="15" s="1"/>
  <c r="F75" i="15" s="1"/>
  <c r="F76" i="15" s="1"/>
  <c r="F77" i="15" s="1"/>
  <c r="F78" i="15" s="1"/>
  <c r="F79" i="15" s="1"/>
  <c r="F80" i="15" s="1"/>
  <c r="F81" i="15" s="1"/>
  <c r="F82" i="15" s="1"/>
  <c r="F83" i="15" s="1"/>
  <c r="F84" i="15" s="1"/>
  <c r="F85" i="15" s="1"/>
  <c r="F86" i="15" s="1"/>
  <c r="F87" i="15" s="1"/>
  <c r="F159" i="15" s="1"/>
  <c r="F160" i="15" s="1"/>
  <c r="F161" i="15" s="1"/>
  <c r="F162" i="15" s="1"/>
  <c r="F163" i="15" s="1"/>
  <c r="F164" i="15" s="1"/>
  <c r="F165" i="15" s="1"/>
  <c r="F166" i="15" s="1"/>
  <c r="F167" i="15" s="1"/>
  <c r="F168" i="15" s="1"/>
  <c r="F169" i="15" s="1"/>
  <c r="F170" i="15" s="1"/>
  <c r="F171" i="15" s="1"/>
  <c r="F172" i="15" s="1"/>
  <c r="F173" i="15" s="1"/>
  <c r="F174" i="15" s="1"/>
  <c r="F175" i="15" s="1"/>
  <c r="F176" i="15" s="1"/>
  <c r="F177" i="15" s="1"/>
  <c r="F178" i="15" s="1"/>
  <c r="F179" i="15" s="1"/>
  <c r="F180" i="15" s="1"/>
  <c r="F181" i="15" s="1"/>
  <c r="F182" i="15" s="1"/>
  <c r="F183" i="15" s="1"/>
  <c r="F184" i="15" s="1"/>
  <c r="F185" i="15" s="1"/>
  <c r="F186" i="15" s="1"/>
  <c r="F187" i="15" s="1"/>
  <c r="F188" i="15" s="1"/>
  <c r="F189" i="15" s="1"/>
  <c r="F190" i="15" s="1"/>
  <c r="F191" i="15" s="1"/>
  <c r="F192" i="15" s="1"/>
  <c r="F193" i="15" s="1"/>
  <c r="F194" i="15" s="1"/>
  <c r="F195" i="15" s="1"/>
  <c r="F196" i="15" s="1"/>
  <c r="F197" i="15" s="1"/>
  <c r="F198" i="15" s="1"/>
  <c r="F199" i="15" s="1"/>
  <c r="F200" i="15" s="1"/>
  <c r="F201" i="15" s="1"/>
  <c r="F202" i="15" s="1"/>
  <c r="F203" i="15" s="1"/>
  <c r="F204" i="15" s="1"/>
  <c r="F205" i="15" s="1"/>
  <c r="F206" i="15" s="1"/>
  <c r="F207" i="15" s="1"/>
  <c r="F208" i="15" s="1"/>
  <c r="F209" i="15" s="1"/>
  <c r="F210" i="15" s="1"/>
  <c r="F211" i="15" s="1"/>
  <c r="F212" i="15" s="1"/>
  <c r="F213" i="15" s="1"/>
  <c r="F214" i="15" s="1"/>
  <c r="F215" i="15" s="1"/>
  <c r="F216" i="15" s="1"/>
  <c r="F217" i="15" s="1"/>
  <c r="F218" i="15" s="1"/>
  <c r="F219" i="15" s="1"/>
  <c r="F220" i="15" s="1"/>
  <c r="F221" i="15" s="1"/>
  <c r="F222" i="15" s="1"/>
  <c r="F223" i="15" s="1"/>
  <c r="F224" i="15" s="1"/>
  <c r="F225" i="15" s="1"/>
  <c r="F226" i="15" s="1"/>
  <c r="F227" i="15" s="1"/>
  <c r="F228" i="15" s="1"/>
  <c r="F229" i="15" s="1"/>
  <c r="F230" i="15" s="1"/>
  <c r="F231" i="15" s="1"/>
  <c r="F232" i="15" s="1"/>
  <c r="F233" i="15" s="1"/>
  <c r="F234" i="15" s="1"/>
  <c r="F235" i="15" s="1"/>
  <c r="F236" i="15" s="1"/>
  <c r="F237" i="15" s="1"/>
  <c r="F238" i="15" s="1"/>
  <c r="F239" i="15" s="1"/>
  <c r="F240" i="15" s="1"/>
  <c r="F241" i="15" s="1"/>
  <c r="F242" i="15" s="1"/>
  <c r="F243" i="15" s="1"/>
  <c r="F244" i="15" s="1"/>
  <c r="F245" i="15" s="1"/>
  <c r="F246" i="15" s="1"/>
  <c r="F247" i="15" s="1"/>
  <c r="F248" i="15" s="1"/>
  <c r="F249" i="15" s="1"/>
  <c r="F250" i="15" s="1"/>
  <c r="F251" i="15" s="1"/>
  <c r="F252" i="15" s="1"/>
  <c r="F253" i="15" s="1"/>
  <c r="F284" i="15" s="1"/>
  <c r="F285" i="15" s="1"/>
  <c r="F286" i="15" s="1"/>
  <c r="F287" i="15" s="1"/>
  <c r="F288" i="15" s="1"/>
  <c r="F289" i="15" s="1"/>
  <c r="F290" i="15" s="1"/>
  <c r="F291" i="15" s="1"/>
  <c r="F292" i="15" s="1"/>
  <c r="F293" i="15" s="1"/>
  <c r="F294" i="15" s="1"/>
  <c r="F295" i="15" s="1"/>
  <c r="F296" i="15" s="1"/>
  <c r="F297" i="15" s="1"/>
  <c r="F298" i="15" s="1"/>
  <c r="F299" i="15" s="1"/>
  <c r="F300" i="15" s="1"/>
  <c r="F301" i="15" s="1"/>
  <c r="F302" i="15" s="1"/>
  <c r="F303" i="15" s="1"/>
  <c r="F304" i="15" s="1"/>
  <c r="F305" i="15" s="1"/>
  <c r="F306" i="15" s="1"/>
  <c r="F307" i="15" s="1"/>
  <c r="F308" i="15" s="1"/>
  <c r="F309" i="15" s="1"/>
  <c r="F310" i="15" s="1"/>
  <c r="F311" i="15" s="1"/>
  <c r="F312" i="15" s="1"/>
  <c r="F313" i="15" s="1"/>
  <c r="F314" i="15" s="1"/>
  <c r="F315" i="15" s="1"/>
  <c r="F316" i="15" s="1"/>
  <c r="F317" i="15" s="1"/>
  <c r="F318" i="15" s="1"/>
  <c r="F319" i="15" s="1"/>
  <c r="F320" i="15" s="1"/>
  <c r="F321" i="15" s="1"/>
  <c r="F322" i="15" s="1"/>
  <c r="F323" i="15" s="1"/>
  <c r="F324" i="15" s="1"/>
  <c r="F325" i="15" s="1"/>
  <c r="F326" i="15" s="1"/>
  <c r="F327" i="15" s="1"/>
  <c r="F328" i="15" s="1"/>
  <c r="F329" i="15" s="1"/>
  <c r="F330" i="15" s="1"/>
  <c r="F331" i="15" s="1"/>
  <c r="F332" i="15" s="1"/>
  <c r="F333" i="15" s="1"/>
  <c r="F334" i="15" s="1"/>
  <c r="F335" i="15" s="1"/>
  <c r="F336" i="15" s="1"/>
  <c r="F337" i="15" s="1"/>
  <c r="F338" i="15" s="1"/>
  <c r="F339" i="15" s="1"/>
  <c r="F340" i="15" s="1"/>
  <c r="F341" i="15" s="1"/>
  <c r="F342" i="15" s="1"/>
  <c r="F343" i="15" s="1"/>
  <c r="F344" i="15" s="1"/>
  <c r="F345" i="15" s="1"/>
  <c r="F346" i="15" s="1"/>
  <c r="F347" i="15" s="1"/>
  <c r="F348" i="15" s="1"/>
  <c r="F349" i="15" s="1"/>
  <c r="F350" i="15" s="1"/>
  <c r="F351" i="15" s="1"/>
  <c r="F352" i="15" s="1"/>
  <c r="F353" i="15" s="1"/>
  <c r="F354" i="15" s="1"/>
  <c r="F355" i="15" s="1"/>
  <c r="F356" i="15" s="1"/>
  <c r="F357" i="15" s="1"/>
  <c r="F358" i="15" s="1"/>
  <c r="F359" i="15" s="1"/>
  <c r="F360" i="15" s="1"/>
  <c r="F361" i="15" s="1"/>
  <c r="F362" i="15" s="1"/>
  <c r="F363" i="15" s="1"/>
  <c r="F364" i="15" s="1"/>
  <c r="F365" i="15" s="1"/>
  <c r="F366" i="15" s="1"/>
  <c r="F367" i="15" s="1"/>
  <c r="F368" i="15" s="1"/>
  <c r="F369" i="15" s="1"/>
  <c r="F370" i="15" s="1"/>
  <c r="F371" i="15" s="1"/>
  <c r="F405" i="15" s="1"/>
  <c r="F406" i="15" s="1"/>
  <c r="F407" i="15" s="1"/>
  <c r="F408" i="15" s="1"/>
  <c r="F409" i="15" s="1"/>
  <c r="F410" i="15" s="1"/>
  <c r="F411" i="15" s="1"/>
  <c r="F412" i="15" s="1"/>
  <c r="F413" i="15" s="1"/>
  <c r="F414" i="15" s="1"/>
  <c r="F415" i="15" s="1"/>
  <c r="F416" i="15" s="1"/>
  <c r="F417" i="15" s="1"/>
  <c r="F418" i="15" s="1"/>
  <c r="F419" i="15" s="1"/>
  <c r="F420" i="15" s="1"/>
  <c r="F421" i="15" s="1"/>
  <c r="F422" i="15" s="1"/>
  <c r="F423" i="15" s="1"/>
  <c r="F424" i="15" s="1"/>
  <c r="F425" i="15" s="1"/>
  <c r="F426" i="15" s="1"/>
  <c r="F427" i="15" s="1"/>
  <c r="F428" i="15" s="1"/>
  <c r="F429" i="15" s="1"/>
  <c r="F430" i="15" s="1"/>
  <c r="F431" i="15" s="1"/>
  <c r="F432" i="15" s="1"/>
  <c r="F433" i="15" s="1"/>
  <c r="F434" i="15" s="1"/>
  <c r="F435" i="15" s="1"/>
  <c r="F436" i="15" s="1"/>
  <c r="F437" i="15" s="1"/>
  <c r="F438" i="15" s="1"/>
  <c r="F439" i="15" s="1"/>
  <c r="F440" i="15" s="1"/>
  <c r="F441" i="15" s="1"/>
  <c r="F442" i="15" s="1"/>
  <c r="F443" i="15" s="1"/>
  <c r="F444" i="15" s="1"/>
  <c r="F445" i="15" s="1"/>
  <c r="F446" i="15" s="1"/>
  <c r="F447" i="15" s="1"/>
  <c r="F448" i="15" s="1"/>
  <c r="F449" i="15" s="1"/>
  <c r="F450" i="15" s="1"/>
  <c r="F451" i="15" s="1"/>
  <c r="F452" i="15" s="1"/>
  <c r="F453" i="15" s="1"/>
  <c r="F454" i="15" s="1"/>
  <c r="F455" i="15" s="1"/>
  <c r="F456" i="15" s="1"/>
  <c r="F457" i="15" s="1"/>
  <c r="F458" i="15" s="1"/>
  <c r="F459" i="15" s="1"/>
  <c r="F460" i="15" s="1"/>
  <c r="F461" i="15" s="1"/>
  <c r="F462" i="15" s="1"/>
  <c r="F463" i="15" s="1"/>
  <c r="F464" i="15" s="1"/>
  <c r="F465" i="15" s="1"/>
  <c r="F466" i="15" s="1"/>
  <c r="F467" i="15" s="1"/>
  <c r="F468" i="15" s="1"/>
  <c r="F469" i="15" s="1"/>
  <c r="F470" i="15" s="1"/>
  <c r="F471" i="15" s="1"/>
  <c r="F472" i="15" s="1"/>
  <c r="F473" i="15" s="1"/>
  <c r="F474" i="15" s="1"/>
  <c r="F475" i="15" s="1"/>
  <c r="F476" i="15" s="1"/>
  <c r="F477" i="15" s="1"/>
  <c r="F478" i="15" s="1"/>
  <c r="F479" i="15" s="1"/>
  <c r="F480" i="15" s="1"/>
  <c r="F481" i="15" s="1"/>
  <c r="F482" i="15" s="1"/>
  <c r="F483" i="15" s="1"/>
  <c r="F484" i="15" s="1"/>
  <c r="F485" i="15" s="1"/>
  <c r="F486" i="15" s="1"/>
  <c r="F487" i="15" s="1"/>
  <c r="F488" i="15" s="1"/>
  <c r="F489" i="15" s="1"/>
  <c r="F490" i="15" s="1"/>
  <c r="F491" i="15" s="1"/>
  <c r="F492" i="15" s="1"/>
  <c r="F493" i="15" s="1"/>
  <c r="F494" i="15" s="1"/>
  <c r="F495" i="15" s="1"/>
  <c r="F496" i="15" s="1"/>
  <c r="F497" i="15" s="1"/>
  <c r="F498" i="15" s="1"/>
  <c r="F499" i="15" s="1"/>
  <c r="F500" i="15" s="1"/>
  <c r="F501" i="15" s="1"/>
  <c r="F502" i="15" s="1"/>
  <c r="F503" i="15" s="1"/>
  <c r="F504" i="15" s="1"/>
  <c r="F505" i="15" s="1"/>
  <c r="F506" i="15" s="1"/>
  <c r="F507" i="15" s="1"/>
  <c r="F508" i="15" s="1"/>
  <c r="F509" i="15" s="1"/>
  <c r="F510" i="15" s="1"/>
  <c r="F511" i="15" s="1"/>
  <c r="F512" i="15" s="1"/>
  <c r="F513" i="15" s="1"/>
  <c r="F514" i="15" s="1"/>
  <c r="F515" i="15" s="1"/>
  <c r="F516" i="15" s="1"/>
  <c r="F517" i="15" s="1"/>
  <c r="F518" i="15" s="1"/>
  <c r="F519" i="15" s="1"/>
  <c r="F520" i="15" s="1"/>
  <c r="F521" i="15" s="1"/>
  <c r="F522" i="15" s="1"/>
  <c r="F523" i="15" s="1"/>
  <c r="F524" i="15" s="1"/>
  <c r="F525" i="15" s="1"/>
  <c r="F526" i="15" s="1"/>
  <c r="F527" i="15" s="1"/>
  <c r="F528" i="15" s="1"/>
  <c r="F529" i="15" s="1"/>
  <c r="F530" i="15" s="1"/>
  <c r="F531" i="15" s="1"/>
  <c r="F532" i="15" s="1"/>
  <c r="F533" i="15" s="1"/>
  <c r="F534" i="15" s="1"/>
  <c r="F535" i="15" s="1"/>
  <c r="F536" i="15" s="1"/>
  <c r="F537" i="15" s="1"/>
  <c r="F538" i="15" s="1"/>
  <c r="F539" i="15" s="1"/>
  <c r="F540" i="15" s="1"/>
  <c r="F541" i="15" s="1"/>
  <c r="F542" i="15" s="1"/>
  <c r="F543" i="15" s="1"/>
  <c r="F544" i="15" s="1"/>
  <c r="F545" i="15" s="1"/>
  <c r="F546" i="15" s="1"/>
  <c r="F547" i="15" s="1"/>
  <c r="F548" i="15" s="1"/>
  <c r="F549" i="15" s="1"/>
  <c r="F550" i="15" s="1"/>
  <c r="F551" i="15" s="1"/>
  <c r="F552" i="15" s="1"/>
  <c r="F553" i="1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Dave Gratton</author>
  </authors>
  <commentList>
    <comment ref="A2" authorId="0" shapeId="0" xr:uid="{FBB25AE3-F742-46FB-BFA4-45B270A6AF9E}">
      <text>
        <r>
          <rPr>
            <b/>
            <sz val="9"/>
            <color indexed="81"/>
            <rFont val="Tahoma"/>
            <family val="2"/>
          </rPr>
          <t>1 rentals
2.rental refunds
3. Grant Income
4. Car Park Income
5.Donations Income
6. Interest On Capital
7. Other Income
10. Rent, Rates
11.Water
12. Insurance
13. Electricity
14. Gas
15. Wages
16. Telephany
17. Post/stationary
18. Advertising
19. Repairs and renewals
20. Household and Cleaning
21. Sundry Expenses
22. Fees and Licenses
23. Waste
24. Gardening
25. Window Cleaning</t>
        </r>
        <r>
          <rPr>
            <sz val="9"/>
            <color indexed="81"/>
            <rFont val="Tahoma"/>
            <family val="2"/>
          </rPr>
          <t xml:space="preserve">
</t>
        </r>
      </text>
    </comment>
    <comment ref="E40" authorId="0" shapeId="0" xr:uid="{9B022798-F12D-4F9F-8A0F-5E801BA7B629}">
      <text>
        <r>
          <rPr>
            <b/>
            <sz val="9"/>
            <color indexed="81"/>
            <rFont val="Tahoma"/>
            <family val="2"/>
          </rPr>
          <t>this is additional insurance for Croft WI items stored in hall. Croft WI to pay us this same amount back</t>
        </r>
        <r>
          <rPr>
            <sz val="9"/>
            <color indexed="81"/>
            <rFont val="Tahoma"/>
            <family val="2"/>
          </rPr>
          <t xml:space="preserve">
</t>
        </r>
      </text>
    </comment>
    <comment ref="D41" authorId="0" shapeId="0" xr:uid="{9262B4EC-CEF3-4BDF-8D11-03FF9FFD5816}">
      <text>
        <r>
          <rPr>
            <sz val="9"/>
            <color indexed="81"/>
            <rFont val="Tahoma"/>
            <family val="2"/>
          </rPr>
          <t xml:space="preserve">D Gratton paid Ionos £25.20 for 'cvmhall.co.uk' domain for a 3 year period.
Please note the contract was cancelled and then renewed at £8.50+vat first year then £10+vat subsequent years
</t>
        </r>
      </text>
    </comment>
    <comment ref="E42" authorId="0" shapeId="0" xr:uid="{925D73E9-4663-4124-9C6A-D3DCD87B3A27}">
      <text>
        <r>
          <rPr>
            <b/>
            <sz val="9"/>
            <color indexed="81"/>
            <rFont val="Tahoma"/>
            <family val="2"/>
          </rPr>
          <t>this is the sum owed for additional insurance - see 15th jan 24</t>
        </r>
        <r>
          <rPr>
            <sz val="9"/>
            <color indexed="81"/>
            <rFont val="Tahoma"/>
            <family val="2"/>
          </rPr>
          <t xml:space="preserve">
</t>
        </r>
      </text>
    </comment>
    <comment ref="D45" authorId="0" shapeId="0" xr:uid="{C668FAFA-255C-4545-B03C-BD46E66C932E}">
      <text>
        <r>
          <rPr>
            <b/>
            <sz val="9"/>
            <color indexed="81"/>
            <rFont val="Tahoma"/>
            <family val="2"/>
          </rPr>
          <t>this is from a fundraiser at the pub in November 23 to help with costs from the flood in Oct 23</t>
        </r>
        <r>
          <rPr>
            <sz val="9"/>
            <color indexed="81"/>
            <rFont val="Tahoma"/>
            <family val="2"/>
          </rPr>
          <t xml:space="preserve">
</t>
        </r>
      </text>
    </comment>
    <comment ref="D48" authorId="0" shapeId="0" xr:uid="{F58E5A25-FDBF-4F30-BB83-98D3843C1FC4}">
      <text>
        <r>
          <rPr>
            <b/>
            <sz val="9"/>
            <color indexed="81"/>
            <rFont val="Tahoma"/>
            <family val="2"/>
          </rPr>
          <t>this is for Annettes mobile phone and on a direct bebit as of this date</t>
        </r>
        <r>
          <rPr>
            <sz val="9"/>
            <color indexed="81"/>
            <rFont val="Tahoma"/>
            <family val="2"/>
          </rPr>
          <t xml:space="preserve">
</t>
        </r>
      </text>
    </comment>
    <comment ref="D54" authorId="0" shapeId="0" xr:uid="{BB064527-F0AF-4D98-9570-8264470632F0}">
      <text>
        <r>
          <rPr>
            <b/>
            <sz val="9"/>
            <color indexed="81"/>
            <rFont val="Tahoma"/>
            <family val="2"/>
          </rPr>
          <t>servicing of both boilers</t>
        </r>
        <r>
          <rPr>
            <sz val="9"/>
            <color indexed="81"/>
            <rFont val="Tahoma"/>
            <family val="2"/>
          </rPr>
          <t xml:space="preserve">
</t>
        </r>
      </text>
    </comment>
    <comment ref="E72" authorId="0" shapeId="0" xr:uid="{B8C7F8E6-735A-41D3-AC5A-615295FD0B46}">
      <text>
        <r>
          <rPr>
            <b/>
            <sz val="9"/>
            <color indexed="81"/>
            <rFont val="Tahoma"/>
            <family val="2"/>
          </rPr>
          <t xml:space="preserve">various items to repair / improve the blinds in both rooms. </t>
        </r>
        <r>
          <rPr>
            <sz val="9"/>
            <color indexed="81"/>
            <rFont val="Tahoma"/>
            <family val="2"/>
          </rPr>
          <t xml:space="preserve">
</t>
        </r>
      </text>
    </comment>
    <comment ref="E73" authorId="0" shapeId="0" xr:uid="{4FDA4AED-6BE9-45DB-9559-32C1A8792176}">
      <text>
        <r>
          <rPr>
            <b/>
            <sz val="9"/>
            <color indexed="81"/>
            <rFont val="Tahoma"/>
            <family val="2"/>
          </rPr>
          <t>Tea, coffee, milk, biscuits for use with the AGM</t>
        </r>
        <r>
          <rPr>
            <sz val="9"/>
            <color indexed="81"/>
            <rFont val="Tahoma"/>
            <family val="2"/>
          </rPr>
          <t xml:space="preserve">
</t>
        </r>
      </text>
    </comment>
    <comment ref="E74" authorId="0" shapeId="0" xr:uid="{74ABF5B7-EFB6-4AFF-8BDD-E13FC84B724A}">
      <text>
        <r>
          <rPr>
            <b/>
            <sz val="9"/>
            <color indexed="81"/>
            <rFont val="Tahoma"/>
            <family val="2"/>
          </rPr>
          <t>Bottle of whiskey given to Dave Cummerson for his 'independent and competant' work with cvmh accounts for 2023</t>
        </r>
        <r>
          <rPr>
            <sz val="9"/>
            <color indexed="81"/>
            <rFont val="Tahoma"/>
            <family val="2"/>
          </rPr>
          <t xml:space="preserve">
</t>
        </r>
      </text>
    </comment>
    <comment ref="E78" authorId="0" shapeId="0" xr:uid="{989A72A8-5A63-4CC9-BA42-12E9EA37174D}">
      <text>
        <r>
          <rPr>
            <b/>
            <sz val="9"/>
            <color indexed="81"/>
            <rFont val="Tahoma"/>
            <family val="2"/>
          </rPr>
          <t>this is extremely high and is for Nov 23. It is due to the heating being left on to dry the halls after the flood</t>
        </r>
        <r>
          <rPr>
            <sz val="9"/>
            <color indexed="81"/>
            <rFont val="Tahoma"/>
            <family val="2"/>
          </rPr>
          <t xml:space="preserve">
</t>
        </r>
      </text>
    </comment>
    <comment ref="D181" authorId="0" shapeId="0" xr:uid="{7F9E473F-B213-4199-8139-A5DC813040A9}">
      <text>
        <r>
          <rPr>
            <b/>
            <sz val="9"/>
            <color indexed="81"/>
            <rFont val="Tahoma"/>
            <family val="2"/>
          </rPr>
          <t>2 x new traffic posts plus bases to replace damaged.
Grout to fix broken tile in Birch kitchen</t>
        </r>
        <r>
          <rPr>
            <sz val="9"/>
            <color indexed="81"/>
            <rFont val="Tahoma"/>
            <family val="2"/>
          </rPr>
          <t xml:space="preserve">
</t>
        </r>
      </text>
    </comment>
    <comment ref="D182" authorId="0" shapeId="0" xr:uid="{6D4FE42D-4B7D-49AA-BBA7-43223DD59851}">
      <text>
        <r>
          <rPr>
            <sz val="9"/>
            <color indexed="81"/>
            <rFont val="Tahoma"/>
            <family val="2"/>
          </rPr>
          <t xml:space="preserve">2 x files for CVMH accounts.
Postage to send to Warr Boro Council about funding for new doors
</t>
        </r>
      </text>
    </comment>
    <comment ref="D183" authorId="0" shapeId="0" xr:uid="{A2B1BD98-4424-4F1E-8949-745E5E6B1C24}">
      <text>
        <r>
          <rPr>
            <b/>
            <sz val="9"/>
            <color indexed="81"/>
            <rFont val="Tahoma"/>
            <family val="2"/>
          </rPr>
          <t>to supply and install hive heating controls to both boilers</t>
        </r>
        <r>
          <rPr>
            <sz val="9"/>
            <color indexed="81"/>
            <rFont val="Tahoma"/>
            <family val="2"/>
          </rPr>
          <t xml:space="preserve">
</t>
        </r>
      </text>
    </comment>
    <comment ref="D203" authorId="0" shapeId="0" xr:uid="{4FD9CF73-9FAD-47AA-B61B-3DF14EECB0A1}">
      <text>
        <r>
          <rPr>
            <b/>
            <sz val="9"/>
            <color indexed="81"/>
            <rFont val="Tahoma"/>
            <family val="2"/>
          </rPr>
          <t>annual service emergency lights, alarm, fire extinguishers, signage etc</t>
        </r>
        <r>
          <rPr>
            <sz val="9"/>
            <color indexed="81"/>
            <rFont val="Tahoma"/>
            <family val="2"/>
          </rPr>
          <t xml:space="preserve">
</t>
        </r>
      </text>
    </comment>
    <comment ref="D204" authorId="0" shapeId="0" xr:uid="{D1E6F929-0124-4EC5-984A-16691E728787}">
      <text>
        <r>
          <rPr>
            <b/>
            <sz val="9"/>
            <color indexed="81"/>
            <rFont val="Tahoma"/>
            <family val="2"/>
          </rPr>
          <t>3 new emergency light fittings. Test done prior to Firecheck annual service. 3 found to last 2hrs only and replaced with new by D Gratton</t>
        </r>
        <r>
          <rPr>
            <sz val="9"/>
            <color indexed="81"/>
            <rFont val="Tahoma"/>
            <family val="2"/>
          </rPr>
          <t xml:space="preserve">
</t>
        </r>
      </text>
    </comment>
    <comment ref="D232" authorId="0" shapeId="0" xr:uid="{0C7B69B3-EF67-4C4D-BAB4-71CE5C19BEEF}">
      <text>
        <r>
          <rPr>
            <b/>
            <sz val="9"/>
            <color indexed="81"/>
            <rFont val="Tahoma"/>
            <family val="2"/>
          </rPr>
          <t xml:space="preserve">cleaning supplies ordered by Annett)
</t>
        </r>
        <r>
          <rPr>
            <sz val="9"/>
            <color indexed="81"/>
            <rFont val="Tahoma"/>
            <family val="2"/>
          </rPr>
          <t xml:space="preserve">
</t>
        </r>
      </text>
    </comment>
    <comment ref="D233" authorId="0" shapeId="0" xr:uid="{F015B40B-7C03-43FB-B17A-14759BFE674C}">
      <text>
        <r>
          <rPr>
            <b/>
            <sz val="9"/>
            <color indexed="81"/>
            <rFont val="Tahoma"/>
            <family val="2"/>
          </rPr>
          <t>During the fire service/check one extinguisher was found out of date and needed to be replaced. The one in Big Hall next to door to corridor)</t>
        </r>
        <r>
          <rPr>
            <sz val="9"/>
            <color indexed="81"/>
            <rFont val="Tahoma"/>
            <family val="2"/>
          </rPr>
          <t xml:space="preserve">
</t>
        </r>
      </text>
    </comment>
    <comment ref="D235" authorId="0" shapeId="0" xr:uid="{3724A9B2-0878-4631-A149-B93E257EFBA0}">
      <text>
        <r>
          <rPr>
            <b/>
            <sz val="9"/>
            <color indexed="81"/>
            <rFont val="Tahoma"/>
            <family val="2"/>
          </rPr>
          <t>This is for the supply and fitting of 2 doors as part of the schedule to have all doors replaced</t>
        </r>
        <r>
          <rPr>
            <sz val="9"/>
            <color indexed="81"/>
            <rFont val="Tahoma"/>
            <family val="2"/>
          </rPr>
          <t xml:space="preserve">
</t>
        </r>
      </text>
    </comment>
    <comment ref="D240" authorId="0" shapeId="0" xr:uid="{A4030273-7A57-4E22-9B3F-9CC3EDA01DC8}">
      <text>
        <r>
          <rPr>
            <b/>
            <sz val="9"/>
            <color indexed="81"/>
            <rFont val="Tahoma"/>
            <family val="2"/>
          </rPr>
          <t>4 new handles for new doors</t>
        </r>
        <r>
          <rPr>
            <sz val="9"/>
            <color indexed="81"/>
            <rFont val="Tahoma"/>
            <family val="2"/>
          </rPr>
          <t xml:space="preserve">
</t>
        </r>
      </text>
    </comment>
    <comment ref="D241" authorId="0" shapeId="0" xr:uid="{28015AA2-7865-4AC5-B1B9-B036A74701B3}">
      <text>
        <r>
          <rPr>
            <b/>
            <sz val="9"/>
            <color indexed="81"/>
            <rFont val="Tahoma"/>
            <family val="2"/>
          </rPr>
          <t>1 month payment for website - gone to direct debit from June 2024</t>
        </r>
        <r>
          <rPr>
            <sz val="9"/>
            <color indexed="81"/>
            <rFont val="Tahoma"/>
            <family val="2"/>
          </rPr>
          <t xml:space="preserve">
</t>
        </r>
      </text>
    </comment>
    <comment ref="D242" authorId="0" shapeId="0" xr:uid="{08D063C8-616E-492B-AA0A-3C6A54C31150}">
      <text>
        <r>
          <rPr>
            <b/>
            <sz val="9"/>
            <color indexed="81"/>
            <rFont val="Tahoma"/>
            <family val="2"/>
          </rPr>
          <t>hire of hall for one off pilates</t>
        </r>
        <r>
          <rPr>
            <sz val="9"/>
            <color indexed="81"/>
            <rFont val="Tahoma"/>
            <family val="2"/>
          </rPr>
          <t xml:space="preserve">
</t>
        </r>
      </text>
    </comment>
    <comment ref="D246" authorId="0" shapeId="0" xr:uid="{CD1FEAD9-4AD9-4D6E-A898-E47232975A8E}">
      <text>
        <r>
          <rPr>
            <b/>
            <sz val="9"/>
            <color indexed="81"/>
            <rFont val="Tahoma"/>
            <family val="2"/>
          </rPr>
          <t>Annette submitted £10.38 however this is wrong. She was paid £10.38. When I checked receipt the value is £18.60</t>
        </r>
        <r>
          <rPr>
            <sz val="9"/>
            <color indexed="81"/>
            <rFont val="Tahoma"/>
            <family val="2"/>
          </rPr>
          <t xml:space="preserve">
</t>
        </r>
      </text>
    </comment>
    <comment ref="D247" authorId="0" shapeId="0" xr:uid="{94D469A1-BED8-469B-A80C-C111A33F6188}">
      <text>
        <r>
          <rPr>
            <b/>
            <sz val="9"/>
            <color indexed="81"/>
            <rFont val="Tahoma"/>
            <family val="2"/>
          </rPr>
          <t>1 month payment for website - gone to direct debit from June 2024</t>
        </r>
        <r>
          <rPr>
            <sz val="9"/>
            <color indexed="81"/>
            <rFont val="Tahoma"/>
            <family val="2"/>
          </rPr>
          <t xml:space="preserve">
</t>
        </r>
      </text>
    </comment>
    <comment ref="D249" authorId="0" shapeId="0" xr:uid="{4E5015A6-FEFF-4CCA-B365-C41EFA35BF7C}">
      <text>
        <r>
          <rPr>
            <b/>
            <sz val="9"/>
            <color indexed="81"/>
            <rFont val="Tahoma"/>
            <family val="2"/>
          </rPr>
          <t xml:space="preserve">This is a refund of £1000 which is the insurance excess paid to Home Repair Network for the claim on the </t>
        </r>
        <r>
          <rPr>
            <sz val="9"/>
            <color indexed="81"/>
            <rFont val="Tahoma"/>
            <family val="2"/>
          </rPr>
          <t xml:space="preserve">
damaged floor after the flood (Oct 23).
HRN was not used by our insurers hence the refund, which was originally paid 22nd Feb 2024.
The £1000 will eventually be paid to whoever carries out the remedial work.</t>
        </r>
      </text>
    </comment>
    <comment ref="D253" authorId="0" shapeId="0" xr:uid="{D826C9FE-0B12-4D7D-915C-96C4CD44B595}">
      <text>
        <r>
          <rPr>
            <b/>
            <sz val="9"/>
            <color indexed="81"/>
            <rFont val="Tahoma"/>
            <family val="2"/>
          </rPr>
          <t>Hammerite black paint for community day to paint down pipe
plus Buckingham Green gloss for new doors and 10ltr Johnstones Antique Cream matt emulsion for hall walls</t>
        </r>
        <r>
          <rPr>
            <sz val="9"/>
            <color indexed="81"/>
            <rFont val="Tahoma"/>
            <family val="2"/>
          </rPr>
          <t xml:space="preserve">
</t>
        </r>
      </text>
    </comment>
    <comment ref="E253" authorId="0" shapeId="0" xr:uid="{2C991E63-6109-4BF6-8B87-33FC4B04A274}">
      <text>
        <r>
          <rPr>
            <b/>
            <sz val="9"/>
            <color indexed="81"/>
            <rFont val="Tahoma"/>
            <family val="2"/>
          </rPr>
          <t>ERROR - an overpayment of 28.38 was made with this and should only have been 101.08. A refund has been made from C Barton of 28.38 to village hall dated 6th July 24</t>
        </r>
        <r>
          <rPr>
            <sz val="9"/>
            <color indexed="81"/>
            <rFont val="Tahoma"/>
            <family val="2"/>
          </rPr>
          <t xml:space="preserve">
</t>
        </r>
      </text>
    </comment>
    <comment ref="D285" authorId="0" shapeId="0" xr:uid="{3E7A3EC8-84B1-4F5C-830B-F12BCE87EB0B}">
      <text>
        <r>
          <rPr>
            <b/>
            <sz val="9"/>
            <color indexed="81"/>
            <rFont val="Tahoma"/>
            <family val="2"/>
          </rPr>
          <t>this is for 6 visits ending 23rd May 2024
60983853
20-98-53
Miss J Ingham</t>
        </r>
        <r>
          <rPr>
            <sz val="9"/>
            <color indexed="81"/>
            <rFont val="Tahoma"/>
            <family val="2"/>
          </rPr>
          <t xml:space="preserve">
</t>
        </r>
      </text>
    </comment>
    <comment ref="R288" authorId="0" shapeId="0" xr:uid="{BA62BFD4-DC1A-4703-825E-0B603AD7C436}">
      <text>
        <r>
          <rPr>
            <b/>
            <sz val="9"/>
            <color indexed="81"/>
            <rFont val="Tahoma"/>
            <family val="2"/>
          </rPr>
          <t>Hammerite black paint for community day painting</t>
        </r>
        <r>
          <rPr>
            <sz val="9"/>
            <color indexed="81"/>
            <rFont val="Tahoma"/>
            <family val="2"/>
          </rPr>
          <t xml:space="preserve">
</t>
        </r>
      </text>
    </comment>
    <comment ref="R289" authorId="0" shapeId="0" xr:uid="{E72828E0-1264-4628-9E2E-0B6947EA9E33}">
      <text>
        <r>
          <rPr>
            <b/>
            <sz val="9"/>
            <color indexed="81"/>
            <rFont val="Tahoma"/>
            <family val="2"/>
          </rPr>
          <t>10ltr Johnstones Antique Cream matt emulsion for hall walls</t>
        </r>
      </text>
    </comment>
    <comment ref="R290" authorId="0" shapeId="0" xr:uid="{9C797548-B9DF-4D89-81ED-629CEEF2C767}">
      <text>
        <r>
          <rPr>
            <b/>
            <sz val="9"/>
            <color indexed="81"/>
            <rFont val="Tahoma"/>
            <family val="2"/>
          </rPr>
          <t>sponge scourer @ 1.10
all purpose cloths x 20 @ 2.75</t>
        </r>
        <r>
          <rPr>
            <sz val="9"/>
            <color indexed="81"/>
            <rFont val="Tahoma"/>
            <family val="2"/>
          </rPr>
          <t xml:space="preserve">
22.45 for assorted community day items for decoration and repair from Wickes
26.00 for 2.5ltr Dulux white undercoat for interior
£28.38 2x1ltr primer for exterior (new doors)
Total 80.68</t>
        </r>
      </text>
    </comment>
    <comment ref="D292" authorId="0" shapeId="0" xr:uid="{98A1DB33-1DC4-460F-833B-AB86544AE81D}">
      <text>
        <r>
          <rPr>
            <b/>
            <sz val="9"/>
            <color indexed="81"/>
            <rFont val="Tahoma"/>
            <family val="2"/>
          </rPr>
          <t>sponge scourer @ 1.10
all purpose cloths x 20 @ 2.75</t>
        </r>
        <r>
          <rPr>
            <sz val="9"/>
            <color indexed="81"/>
            <rFont val="Tahoma"/>
            <family val="2"/>
          </rPr>
          <t xml:space="preserve">
22.45 for assorted community day items for decoration and repair from Wickes
26.00 for 2.5ltr Dulux white undercoat for interior
£28.38 2x1ltr primer for exterior (new doors)
Total 80.68</t>
        </r>
      </text>
    </comment>
    <comment ref="D293" authorId="0" shapeId="0" xr:uid="{40CB9DFA-3CE6-4D05-B677-EBCAAEF4F966}">
      <text>
        <r>
          <rPr>
            <b/>
            <sz val="9"/>
            <color indexed="81"/>
            <rFont val="Tahoma"/>
            <family val="2"/>
          </rPr>
          <t>items to repair hanging blinds in the big hall</t>
        </r>
        <r>
          <rPr>
            <sz val="9"/>
            <color indexed="81"/>
            <rFont val="Tahoma"/>
            <family val="2"/>
          </rPr>
          <t xml:space="preserve">
</t>
        </r>
      </text>
    </comment>
    <comment ref="D294" authorId="0" shapeId="0" xr:uid="{DC44C68E-F439-4A7C-92FB-C2D4AB1784F3}">
      <text>
        <r>
          <rPr>
            <b/>
            <sz val="9"/>
            <color indexed="81"/>
            <rFont val="Tahoma"/>
            <family val="2"/>
          </rPr>
          <t>Various food and drink items for community day for the volunteers</t>
        </r>
        <r>
          <rPr>
            <sz val="9"/>
            <color indexed="81"/>
            <rFont val="Tahoma"/>
            <family val="2"/>
          </rPr>
          <t xml:space="preserve">
</t>
        </r>
      </text>
    </comment>
    <comment ref="D316" authorId="0" shapeId="0" xr:uid="{50CDE328-54E2-469B-8407-48B65282EB99}">
      <text>
        <r>
          <rPr>
            <b/>
            <sz val="9"/>
            <color indexed="81"/>
            <rFont val="Tahoma"/>
            <family val="2"/>
          </rPr>
          <t>hire of hall for one off pilates</t>
        </r>
        <r>
          <rPr>
            <sz val="9"/>
            <color indexed="81"/>
            <rFont val="Tahoma"/>
            <family val="2"/>
          </rPr>
          <t xml:space="preserve">
</t>
        </r>
      </text>
    </comment>
    <comment ref="E316" authorId="0" shapeId="0" xr:uid="{D1E1B518-D810-4283-AB86-DDECD521681A}">
      <text>
        <r>
          <rPr>
            <b/>
            <sz val="9"/>
            <color indexed="81"/>
            <rFont val="Tahoma"/>
            <family val="2"/>
          </rPr>
          <t>Error made 31st May. An overpayment of 28.38 made and this is the refund to correct</t>
        </r>
        <r>
          <rPr>
            <sz val="9"/>
            <color indexed="81"/>
            <rFont val="Tahoma"/>
            <family val="2"/>
          </rPr>
          <t xml:space="preserve">
</t>
        </r>
      </text>
    </comment>
    <comment ref="D318" authorId="0" shapeId="0" xr:uid="{2292ED1C-5F6B-49B4-96D8-F28197D11A35}">
      <text>
        <r>
          <rPr>
            <b/>
            <sz val="9"/>
            <color indexed="81"/>
            <rFont val="Tahoma"/>
            <family val="2"/>
          </rPr>
          <t>This is for the supply and fitting of 2 doors as part of the schedule to have all doors replaced. Price includes cost of all hinges for project and some timber for door frames</t>
        </r>
        <r>
          <rPr>
            <sz val="9"/>
            <color indexed="81"/>
            <rFont val="Tahoma"/>
            <family val="2"/>
          </rPr>
          <t xml:space="preserve">
</t>
        </r>
      </text>
    </comment>
    <comment ref="D319" authorId="0" shapeId="0" xr:uid="{E6F2C93B-E5F0-4903-A689-A30D6E0832EE}">
      <text>
        <r>
          <rPr>
            <b/>
            <sz val="9"/>
            <color indexed="81"/>
            <rFont val="Tahoma"/>
            <family val="2"/>
          </rPr>
          <t>latex primer/undercoat 2.5ltr for door frames on outside</t>
        </r>
      </text>
    </comment>
    <comment ref="D323" authorId="0" shapeId="0" xr:uid="{E994B234-E6F3-4409-AD55-ABFDBB7F83F0}">
      <text>
        <r>
          <rPr>
            <b/>
            <sz val="9"/>
            <color indexed="81"/>
            <rFont val="Tahoma"/>
            <family val="2"/>
          </rPr>
          <t>from Oct 2023 hall flood. Full and final settlement from Aviva insurance</t>
        </r>
        <r>
          <rPr>
            <sz val="9"/>
            <color indexed="81"/>
            <rFont val="Tahoma"/>
            <family val="2"/>
          </rPr>
          <t xml:space="preserve">
</t>
        </r>
      </text>
    </comment>
    <comment ref="D332" authorId="0" shapeId="0" xr:uid="{FD10A579-D6C2-49E2-9B3A-267132121F5E}">
      <text>
        <r>
          <rPr>
            <b/>
            <sz val="9"/>
            <color indexed="81"/>
            <rFont val="Tahoma"/>
            <family val="2"/>
          </rPr>
          <t>transfer from current account to Nat West Liquidity account</t>
        </r>
        <r>
          <rPr>
            <sz val="9"/>
            <color indexed="81"/>
            <rFont val="Tahoma"/>
            <family val="2"/>
          </rPr>
          <t xml:space="preserve">
</t>
        </r>
      </text>
    </comment>
    <comment ref="D333" authorId="0" shapeId="0" xr:uid="{8EF2FADE-0647-48B2-9280-6C4DC10EE47C}">
      <text>
        <r>
          <rPr>
            <b/>
            <sz val="9"/>
            <color indexed="81"/>
            <rFont val="Tahoma"/>
            <family val="2"/>
          </rPr>
          <t xml:space="preserve">white gloss paint 36.50
door lock for ladies toilet 31.99
toilet flush press button for ladies toilet 10.80
</t>
        </r>
        <r>
          <rPr>
            <sz val="9"/>
            <color indexed="81"/>
            <rFont val="Tahoma"/>
            <family val="2"/>
          </rPr>
          <t xml:space="preserve">
</t>
        </r>
      </text>
    </comment>
    <comment ref="D334" authorId="0" shapeId="0" xr:uid="{8107C201-384F-437B-B424-0B7F0570A964}">
      <text>
        <r>
          <rPr>
            <b/>
            <sz val="9"/>
            <color indexed="81"/>
            <rFont val="Tahoma"/>
            <family val="2"/>
          </rPr>
          <t>calculated as 1% of turnover. Turnover calculated as income less private functions as private functions have free music. For next year calculate income for music playing rentals only</t>
        </r>
        <r>
          <rPr>
            <sz val="9"/>
            <color indexed="81"/>
            <rFont val="Tahoma"/>
            <family val="2"/>
          </rPr>
          <t xml:space="preserve">
</t>
        </r>
      </text>
    </comment>
    <comment ref="D336" authorId="0" shapeId="0" xr:uid="{01527CD1-241B-47E8-9249-D4E9C5512C01}">
      <text>
        <r>
          <rPr>
            <b/>
            <sz val="9"/>
            <color indexed="81"/>
            <rFont val="Tahoma"/>
            <family val="2"/>
          </rPr>
          <t>This is Ionos monthly regular payment for website. From here on it should be by direct debit charged to the hall</t>
        </r>
        <r>
          <rPr>
            <sz val="9"/>
            <color indexed="81"/>
            <rFont val="Tahoma"/>
            <family val="2"/>
          </rPr>
          <t xml:space="preserve">
</t>
        </r>
      </text>
    </comment>
    <comment ref="D341" authorId="0" shapeId="0" xr:uid="{9B10798B-C04C-41D0-8D68-B18B8C3FB84D}">
      <text>
        <r>
          <rPr>
            <b/>
            <sz val="9"/>
            <color indexed="81"/>
            <rFont val="Tahoma"/>
            <family val="2"/>
          </rPr>
          <t>Transferred from Liquidity Acct to pay for floor works however insurance paid out and this was not necessary so transferred back following week</t>
        </r>
        <r>
          <rPr>
            <sz val="9"/>
            <color indexed="81"/>
            <rFont val="Tahoma"/>
            <family val="2"/>
          </rPr>
          <t xml:space="preserve">
</t>
        </r>
      </text>
    </comment>
    <comment ref="D346" authorId="0" shapeId="0" xr:uid="{1DE1D5B4-021B-4CB2-B0C9-C2CF0E1C4A1E}">
      <text>
        <r>
          <rPr>
            <b/>
            <sz val="9"/>
            <color indexed="81"/>
            <rFont val="Tahoma"/>
            <family val="2"/>
          </rPr>
          <t>This is for the supply and fitting of 2 doors as part of the schedule to have all doors replaced. Price includes cost of all hinges for project and some timber for door frames</t>
        </r>
        <r>
          <rPr>
            <sz val="9"/>
            <color indexed="81"/>
            <rFont val="Tahoma"/>
            <family val="2"/>
          </rPr>
          <t xml:space="preserve">
</t>
        </r>
      </text>
    </comment>
    <comment ref="D347" authorId="0" shapeId="0" xr:uid="{5657FDC7-BB0C-4DE2-9750-4714A5F6C1EE}">
      <text>
        <r>
          <rPr>
            <b/>
            <sz val="9"/>
            <color indexed="81"/>
            <rFont val="Tahoma"/>
            <family val="2"/>
          </rPr>
          <t>this is for 1xStorm Guard (£26) plus fitting (£60) plus wood filler (£8.67)</t>
        </r>
        <r>
          <rPr>
            <sz val="9"/>
            <color indexed="81"/>
            <rFont val="Tahoma"/>
            <family val="2"/>
          </rPr>
          <t xml:space="preserve">
</t>
        </r>
      </text>
    </comment>
    <comment ref="D356" authorId="0" shapeId="0" xr:uid="{8FFA9D3F-9173-4F32-833B-DA5997EEE0A4}">
      <text>
        <r>
          <rPr>
            <b/>
            <sz val="9"/>
            <color indexed="81"/>
            <rFont val="Tahoma"/>
            <family val="2"/>
          </rPr>
          <t>This is for the supply and fitting of 2 doors as part of the schedule to have all doors replaced. Price includes cost of all hinges for project and some timber for door frames</t>
        </r>
        <r>
          <rPr>
            <sz val="9"/>
            <color indexed="81"/>
            <rFont val="Tahoma"/>
            <family val="2"/>
          </rPr>
          <t xml:space="preserve">
</t>
        </r>
      </text>
    </comment>
    <comment ref="D365" authorId="0" shapeId="0" xr:uid="{D16B6213-C9FD-4CC2-AD3F-1B319F717E89}">
      <text>
        <r>
          <rPr>
            <b/>
            <sz val="9"/>
            <color indexed="81"/>
            <rFont val="Tahoma"/>
            <family val="2"/>
          </rPr>
          <t>assorted items related to new doors 
See door costs page</t>
        </r>
        <r>
          <rPr>
            <sz val="9"/>
            <color indexed="81"/>
            <rFont val="Tahoma"/>
            <family val="2"/>
          </rPr>
          <t xml:space="preserve">
</t>
        </r>
      </text>
    </comment>
    <comment ref="D410" authorId="0" shapeId="0" xr:uid="{DC9CEC71-860B-4071-ACB8-F535ABB97B52}">
      <text>
        <r>
          <rPr>
            <b/>
            <sz val="9"/>
            <color indexed="81"/>
            <rFont val="Tahoma"/>
            <family val="2"/>
          </rPr>
          <t>initial deposit for works to DPC, pointing and internal plaster repair.
Attached is the original quote for 9266.67 which, eventually, was paid in full</t>
        </r>
        <r>
          <rPr>
            <sz val="9"/>
            <color indexed="81"/>
            <rFont val="Tahoma"/>
            <family val="2"/>
          </rPr>
          <t xml:space="preserve">
</t>
        </r>
      </text>
    </comment>
    <comment ref="D417" authorId="0" shapeId="0" xr:uid="{74AA5774-E0C6-4D35-A747-A25AAC18A52A}">
      <text>
        <r>
          <rPr>
            <b/>
            <sz val="9"/>
            <color indexed="81"/>
            <rFont val="Tahoma"/>
            <family val="2"/>
          </rPr>
          <t>From 
One Community Trus / Croft Primary School</t>
        </r>
        <r>
          <rPr>
            <sz val="9"/>
            <color indexed="81"/>
            <rFont val="Tahoma"/>
            <family val="2"/>
          </rPr>
          <t xml:space="preserve">
</t>
        </r>
      </text>
    </comment>
    <comment ref="D420" authorId="0" shapeId="0" xr:uid="{2E0DF8B9-A941-47C9-A3D9-CC4DB7FC14E7}">
      <text>
        <r>
          <rPr>
            <b/>
            <sz val="9"/>
            <color indexed="81"/>
            <rFont val="Tahoma"/>
            <family val="2"/>
          </rPr>
          <t>this is next payment for DPC linked to 5th Sept quote</t>
        </r>
        <r>
          <rPr>
            <sz val="9"/>
            <color indexed="81"/>
            <rFont val="Tahoma"/>
            <family val="2"/>
          </rPr>
          <t xml:space="preserve">
</t>
        </r>
      </text>
    </comment>
    <comment ref="D421" authorId="0" shapeId="0" xr:uid="{4BAACEB4-FC0C-4F4B-B5E3-C313297853D5}">
      <text>
        <r>
          <rPr>
            <sz val="9"/>
            <color indexed="81"/>
            <rFont val="Tahoma"/>
            <family val="2"/>
          </rPr>
          <t xml:space="preserve">'Produce Show'
</t>
        </r>
      </text>
    </comment>
    <comment ref="D428" authorId="0" shapeId="0" xr:uid="{DD3BE4C4-350F-493A-BC91-A83A0DC23986}">
      <text>
        <r>
          <rPr>
            <b/>
            <sz val="9"/>
            <color indexed="81"/>
            <rFont val="Tahoma"/>
            <family val="2"/>
          </rPr>
          <t>Invoice 008
£4000 + £1000 paid 25 Sept 24 = £5000</t>
        </r>
        <r>
          <rPr>
            <sz val="9"/>
            <color indexed="81"/>
            <rFont val="Tahoma"/>
            <family val="2"/>
          </rPr>
          <t xml:space="preserve">
</t>
        </r>
      </text>
    </comment>
    <comment ref="D431" authorId="0" shapeId="0" xr:uid="{C3616B8C-646C-4124-8874-1F4B6CB1E7FD}">
      <text>
        <r>
          <rPr>
            <b/>
            <sz val="9"/>
            <color indexed="81"/>
            <rFont val="Tahoma"/>
            <family val="2"/>
          </rPr>
          <t>cost for new doors</t>
        </r>
        <r>
          <rPr>
            <sz val="9"/>
            <color indexed="81"/>
            <rFont val="Tahoma"/>
            <family val="2"/>
          </rPr>
          <t xml:space="preserve">
</t>
        </r>
      </text>
    </comment>
    <comment ref="D432" authorId="0" shapeId="0" xr:uid="{20168F9F-1211-444B-8436-7E84AFA0D87B}">
      <text>
        <r>
          <rPr>
            <b/>
            <sz val="9"/>
            <color indexed="81"/>
            <rFont val="Tahoma"/>
            <family val="2"/>
          </rPr>
          <t>cost for bottom door cills. This is not part of new door quote or budget</t>
        </r>
        <r>
          <rPr>
            <sz val="9"/>
            <color indexed="81"/>
            <rFont val="Tahoma"/>
            <family val="2"/>
          </rPr>
          <t xml:space="preserve">
</t>
        </r>
      </text>
    </comment>
    <comment ref="D437" authorId="0" shapeId="0" xr:uid="{195ABEC0-B95F-4F84-8E5B-AFF57529C631}">
      <text>
        <r>
          <rPr>
            <b/>
            <sz val="9"/>
            <color indexed="81"/>
            <rFont val="Tahoma"/>
            <family val="2"/>
          </rPr>
          <t>Invoice 008
£1000 + £4000 already paid 23 Sept 24 = £5000</t>
        </r>
        <r>
          <rPr>
            <sz val="9"/>
            <color indexed="81"/>
            <rFont val="Tahoma"/>
            <family val="2"/>
          </rPr>
          <t xml:space="preserve">
</t>
        </r>
      </text>
    </comment>
    <comment ref="D439" authorId="0" shapeId="0" xr:uid="{DDBEC8C0-89B2-4DD4-B559-C81516122F3F}">
      <text>
        <r>
          <rPr>
            <b/>
            <sz val="9"/>
            <color indexed="81"/>
            <rFont val="Tahoma"/>
            <family val="2"/>
          </rPr>
          <t xml:space="preserve">this is hall hire for use as local election hub </t>
        </r>
        <r>
          <rPr>
            <sz val="9"/>
            <color indexed="81"/>
            <rFont val="Tahoma"/>
            <family val="2"/>
          </rPr>
          <t xml:space="preserve">
</t>
        </r>
      </text>
    </comment>
    <comment ref="D443" authorId="0" shapeId="0" xr:uid="{5A2EAFD0-F94F-47CA-88E1-6801086C5BB4}">
      <text>
        <r>
          <rPr>
            <b/>
            <sz val="9"/>
            <color indexed="81"/>
            <rFont val="Tahoma"/>
            <family val="2"/>
          </rPr>
          <t>costs relating to new doors</t>
        </r>
        <r>
          <rPr>
            <sz val="9"/>
            <color indexed="81"/>
            <rFont val="Tahoma"/>
            <family val="2"/>
          </rPr>
          <t xml:space="preserve">
</t>
        </r>
      </text>
    </comment>
    <comment ref="D444" authorId="0" shapeId="0" xr:uid="{843FF45A-7177-4668-9935-C27C5D7CBF66}">
      <text>
        <r>
          <rPr>
            <sz val="9"/>
            <color indexed="81"/>
            <rFont val="Tahoma"/>
            <family val="2"/>
          </rPr>
          <t xml:space="preserve">paint brushes for use in the hall @11.00. Plus 16.19 for cable extension with USB charging points for BT modem in small hall
</t>
        </r>
      </text>
    </comment>
    <comment ref="D445" authorId="0" shapeId="0" xr:uid="{A0E1E1F7-8F02-4438-A7C9-AFCEE1843027}">
      <text>
        <r>
          <rPr>
            <b/>
            <sz val="9"/>
            <color indexed="81"/>
            <rFont val="Tahoma"/>
            <family val="2"/>
          </rPr>
          <t>at this point still manually paying for Ionos webpages, eventually this will go to direct debit</t>
        </r>
        <r>
          <rPr>
            <sz val="9"/>
            <color indexed="81"/>
            <rFont val="Tahoma"/>
            <family val="2"/>
          </rPr>
          <t xml:space="preserve">
This is for month of Aug to Sep which was paid late due to direct debit not working</t>
        </r>
      </text>
    </comment>
    <comment ref="D446" authorId="0" shapeId="0" xr:uid="{1C2D14DE-6483-4784-B386-1A91509AB81D}">
      <text>
        <r>
          <rPr>
            <b/>
            <sz val="9"/>
            <color indexed="81"/>
            <rFont val="Tahoma"/>
            <family val="2"/>
          </rPr>
          <t>this is for bottom door cills and not part of new door quote or budget</t>
        </r>
        <r>
          <rPr>
            <sz val="9"/>
            <color indexed="81"/>
            <rFont val="Tahoma"/>
            <family val="2"/>
          </rPr>
          <t xml:space="preserve">
</t>
        </r>
      </text>
    </comment>
    <comment ref="D465" authorId="0" shapeId="0" xr:uid="{B2A4A754-41CC-4B78-8234-F6BE8589F701}">
      <text>
        <r>
          <rPr>
            <b/>
            <sz val="9"/>
            <color indexed="81"/>
            <rFont val="Tahoma"/>
            <family val="2"/>
          </rPr>
          <t>for elections polling station use</t>
        </r>
        <r>
          <rPr>
            <sz val="9"/>
            <color indexed="81"/>
            <rFont val="Tahoma"/>
            <family val="2"/>
          </rPr>
          <t xml:space="preserve">
</t>
        </r>
      </text>
    </comment>
    <comment ref="D478" authorId="0" shapeId="0" xr:uid="{D33E551A-DBC3-4B22-8095-8978F9310828}">
      <text>
        <r>
          <rPr>
            <b/>
            <sz val="9"/>
            <color indexed="81"/>
            <rFont val="Tahoma"/>
            <family val="2"/>
          </rPr>
          <t>Installing new ACO drains around perimeter of building to ensure free flow of rain water to drains. ACO drains also included across exit door aprons</t>
        </r>
        <r>
          <rPr>
            <sz val="9"/>
            <color indexed="81"/>
            <rFont val="Tahoma"/>
            <family val="2"/>
          </rPr>
          <t xml:space="preserve">
</t>
        </r>
      </text>
    </comment>
    <comment ref="D480" authorId="0" shapeId="0" xr:uid="{8F89394B-B36D-43E3-9E2F-9BDF92491A7B}">
      <text>
        <r>
          <rPr>
            <b/>
            <sz val="9"/>
            <color indexed="81"/>
            <rFont val="Tahoma"/>
            <family val="2"/>
          </rPr>
          <t>Donation for the 'peoople of Croft' for help and support with beer festival in Culcheth.
The new Christmas decorations were purchased using this fund</t>
        </r>
        <r>
          <rPr>
            <sz val="9"/>
            <color indexed="81"/>
            <rFont val="Tahoma"/>
            <family val="2"/>
          </rPr>
          <t xml:space="preserve">
</t>
        </r>
      </text>
    </comment>
    <comment ref="D485" authorId="0" shapeId="0" xr:uid="{7B55970A-33D3-4F21-BD98-3DF80D920C5C}">
      <text>
        <r>
          <rPr>
            <b/>
            <sz val="9"/>
            <color indexed="81"/>
            <rFont val="Tahoma"/>
            <family val="2"/>
          </rPr>
          <t xml:space="preserve">This for the assessment of the flat roof as required by our insurance every 5 years. </t>
        </r>
        <r>
          <rPr>
            <sz val="9"/>
            <color indexed="81"/>
            <rFont val="Tahoma"/>
            <family val="2"/>
          </rPr>
          <t xml:space="preserve">
</t>
        </r>
      </text>
    </comment>
    <comment ref="D486" authorId="0" shapeId="0" xr:uid="{BF8F6F96-3620-4B27-987D-394FB8035907}">
      <text>
        <r>
          <rPr>
            <b/>
            <sz val="9"/>
            <color indexed="81"/>
            <rFont val="Tahoma"/>
            <family val="2"/>
          </rPr>
          <t>Cleaning materials purchased on petty cash</t>
        </r>
        <r>
          <rPr>
            <sz val="9"/>
            <color indexed="81"/>
            <rFont val="Tahoma"/>
            <family val="2"/>
          </rPr>
          <t xml:space="preserve">
</t>
        </r>
      </text>
    </comment>
    <comment ref="D487" authorId="0" shapeId="0" xr:uid="{C28CDFAF-3D89-45B9-84AA-50816193B0C3}">
      <text>
        <r>
          <rPr>
            <b/>
            <sz val="9"/>
            <color indexed="81"/>
            <rFont val="Tahoma"/>
            <family val="2"/>
          </rPr>
          <t>Window cleaning paid through petty cash</t>
        </r>
        <r>
          <rPr>
            <sz val="9"/>
            <color indexed="81"/>
            <rFont val="Tahoma"/>
            <family val="2"/>
          </rPr>
          <t xml:space="preserve">
</t>
        </r>
      </text>
    </comment>
    <comment ref="D523" authorId="0" shapeId="0" xr:uid="{EDAAB2FE-3195-426B-88FC-93AC30DFC0DB}">
      <text>
        <r>
          <rPr>
            <b/>
            <sz val="9"/>
            <color indexed="81"/>
            <rFont val="Tahoma"/>
            <family val="2"/>
          </rPr>
          <t>caulk for doors and skirts
3 x door insulation trim</t>
        </r>
        <r>
          <rPr>
            <sz val="9"/>
            <color indexed="81"/>
            <rFont val="Tahoma"/>
            <family val="2"/>
          </rPr>
          <t xml:space="preserve">
</t>
        </r>
      </text>
    </comment>
    <comment ref="D547" authorId="0" shapeId="0" xr:uid="{4E579F7A-A241-46EB-B08D-FBEE6BC38CA6}">
      <text>
        <r>
          <rPr>
            <b/>
            <sz val="9"/>
            <color indexed="81"/>
            <rFont val="Tahoma"/>
            <family val="2"/>
          </rPr>
          <t>prizes for christmas raffle purchased from Sainsbury</t>
        </r>
        <r>
          <rPr>
            <sz val="9"/>
            <color indexed="81"/>
            <rFont val="Tahoma"/>
            <family val="2"/>
          </rPr>
          <t xml:space="preserve">
</t>
        </r>
      </text>
    </comment>
    <comment ref="D548" authorId="0" shapeId="0" xr:uid="{B3DECB10-5E21-41E6-947B-BDBE2A47A0F8}">
      <text>
        <r>
          <rPr>
            <b/>
            <sz val="9"/>
            <color indexed="81"/>
            <rFont val="Tahoma"/>
            <family val="2"/>
          </rPr>
          <t>to make repairs to 5 light fittings including replacing 1 light fitting</t>
        </r>
        <r>
          <rPr>
            <sz val="9"/>
            <color indexed="81"/>
            <rFont val="Tahoma"/>
            <family val="2"/>
          </rPr>
          <t xml:space="preserve">
</t>
        </r>
      </text>
    </comment>
    <comment ref="D550" authorId="0" shapeId="0" xr:uid="{858C89FC-01AA-4049-BB5E-E11CCB64E738}">
      <text>
        <r>
          <rPr>
            <b/>
            <sz val="9"/>
            <color indexed="81"/>
            <rFont val="Tahoma"/>
            <family val="2"/>
          </rPr>
          <t>2 x solid draught excluders
1 x wood filler
1 x draught excluder
1x sealant
1x rubber draught excluder</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Dave Gratton</author>
  </authors>
  <commentList>
    <comment ref="B4" authorId="0" shapeId="0" xr:uid="{10E469BF-7413-455D-8F10-28A192BCDE69}">
      <text>
        <r>
          <rPr>
            <b/>
            <sz val="9"/>
            <color indexed="81"/>
            <rFont val="Tahoma"/>
            <family val="2"/>
          </rPr>
          <t>1 rentals
2.rental refunds
3. Grant Income
4. Car Park Income
5.Donations Income
6. Interest On Capital
7. Other Income
10. Rent, Rates
11.Water
12. Insurance
13. Electricity
14. Gas
15. Wages
16. Telephany
17. Post/stationary
18. Advertising
19. Repairs and renewals
20. Household and Cleaning
21. Sundry Expenses
22. Fees and Licenses
23. Waste
24. Gardening
25. Window Cleaning</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Dave Gratton</author>
  </authors>
  <commentList>
    <comment ref="A2" authorId="0" shapeId="0" xr:uid="{C5724FDE-077F-47C6-9B16-645914CE9E8D}">
      <text>
        <r>
          <rPr>
            <b/>
            <sz val="9"/>
            <color indexed="81"/>
            <rFont val="Tahoma"/>
            <family val="2"/>
          </rPr>
          <t>1 rentals
2.rental refunds
3. Grant Income
4. Car Park Income
5.Donations Income
6. Interest On Capital
7. Other Income
10. Rent, Rates
11.Water
12. Insurance
13. Electricity
14. Gas
15. Wages
16. Telephany
17. Post/stationary
18. Advertising
19. Repairs and renewals
20. Household and Cleaning
21. Sundry Expenses
22. Fees and Licenses
23. Waste
24. Gardening
25. Window Cleaning</t>
        </r>
        <r>
          <rPr>
            <sz val="9"/>
            <color indexed="81"/>
            <rFont val="Tahoma"/>
            <family val="2"/>
          </rPr>
          <t xml:space="preserve">
</t>
        </r>
      </text>
    </comment>
    <comment ref="D14" authorId="0" shapeId="0" xr:uid="{019A5227-AF4C-4F17-81F1-49939362C6F0}">
      <text>
        <r>
          <rPr>
            <b/>
            <sz val="9"/>
            <color indexed="81"/>
            <rFont val="Tahoma"/>
            <family val="2"/>
          </rPr>
          <t>New tie backs for stage curtains</t>
        </r>
        <r>
          <rPr>
            <sz val="9"/>
            <color indexed="81"/>
            <rFont val="Tahoma"/>
            <family val="2"/>
          </rPr>
          <t xml:space="preserve">
</t>
        </r>
      </text>
    </comment>
    <comment ref="D15" authorId="0" shapeId="0" xr:uid="{1F1A0755-2FFE-48D4-81E3-4A9182E7980E}">
      <text>
        <r>
          <rPr>
            <b/>
            <sz val="9"/>
            <color indexed="81"/>
            <rFont val="Tahoma"/>
            <family val="2"/>
          </rPr>
          <t>3 months of Ionos payments for web site</t>
        </r>
        <r>
          <rPr>
            <sz val="9"/>
            <color indexed="81"/>
            <rFont val="Tahoma"/>
            <family val="2"/>
          </rPr>
          <t xml:space="preserve">
</t>
        </r>
      </text>
    </comment>
    <comment ref="D31" authorId="0" shapeId="0" xr:uid="{AB6308FA-00B7-41C0-B149-6AA36C21E7CB}">
      <text>
        <r>
          <rPr>
            <b/>
            <sz val="9"/>
            <color indexed="81"/>
            <rFont val="Tahoma"/>
            <family val="2"/>
          </rPr>
          <t>This is an insurance payout for lost income during hall closure at the time of the 1st flood (Oct/Nov 2023)</t>
        </r>
        <r>
          <rPr>
            <sz val="9"/>
            <color indexed="81"/>
            <rFont val="Tahoma"/>
            <family val="2"/>
          </rPr>
          <t xml:space="preserve">
</t>
        </r>
      </text>
    </comment>
    <comment ref="D47" authorId="0" shapeId="0" xr:uid="{BC585E60-DF8B-412C-8EB7-D3FFD96FE6BA}">
      <text>
        <r>
          <rPr>
            <b/>
            <sz val="9"/>
            <color indexed="81"/>
            <rFont val="Tahoma"/>
            <family val="2"/>
          </rPr>
          <t>1 month of Ionos payment for web site</t>
        </r>
        <r>
          <rPr>
            <sz val="9"/>
            <color indexed="81"/>
            <rFont val="Tahoma"/>
            <family val="2"/>
          </rPr>
          <t xml:space="preserve">
</t>
        </r>
      </text>
    </comment>
    <comment ref="D50" authorId="0" shapeId="0" xr:uid="{744D3119-A34E-43BB-B0D8-1DFDDAA5FB7D}">
      <text>
        <r>
          <rPr>
            <b/>
            <sz val="9"/>
            <color indexed="81"/>
            <rFont val="Tahoma"/>
            <family val="2"/>
          </rPr>
          <t>6 botts of antibacterial spray for clean up after 1st jan 25 flood</t>
        </r>
        <r>
          <rPr>
            <sz val="9"/>
            <color indexed="81"/>
            <rFont val="Tahoma"/>
            <family val="2"/>
          </rPr>
          <t xml:space="preserve">
</t>
        </r>
      </text>
    </comment>
    <comment ref="D51" authorId="0" shapeId="0" xr:uid="{C38E798C-174F-4E82-AD5B-A0894FCC96A9}">
      <text>
        <r>
          <rPr>
            <b/>
            <sz val="9"/>
            <color indexed="81"/>
            <rFont val="Tahoma"/>
            <family val="2"/>
          </rPr>
          <t>For hire of 2xdehumidifiers and 1xwet/dry vacuum for 4 day period to help with flood on 1st jan 25</t>
        </r>
        <r>
          <rPr>
            <sz val="9"/>
            <color indexed="81"/>
            <rFont val="Tahoma"/>
            <family val="2"/>
          </rPr>
          <t xml:space="preserve">
</t>
        </r>
      </text>
    </comment>
    <comment ref="D52" authorId="0" shapeId="0" xr:uid="{F48F0A73-6415-491E-B8DB-26DB3E0D4595}">
      <text>
        <r>
          <rPr>
            <b/>
            <sz val="9"/>
            <color indexed="81"/>
            <rFont val="Tahoma"/>
            <family val="2"/>
          </rPr>
          <t>for purchase of xmas tree storage bag</t>
        </r>
        <r>
          <rPr>
            <sz val="9"/>
            <color indexed="81"/>
            <rFont val="Tahoma"/>
            <family val="2"/>
          </rPr>
          <t xml:space="preserve">
</t>
        </r>
      </text>
    </comment>
    <comment ref="D53" authorId="0" shapeId="0" xr:uid="{578A2C72-AB04-4652-A6CF-D1F1EAA6A39B}">
      <text>
        <r>
          <rPr>
            <b/>
            <sz val="9"/>
            <color indexed="81"/>
            <rFont val="Tahoma"/>
            <family val="2"/>
          </rPr>
          <t>Service and repairs to small hall boiler</t>
        </r>
        <r>
          <rPr>
            <sz val="9"/>
            <color indexed="81"/>
            <rFont val="Tahoma"/>
            <family val="2"/>
          </rPr>
          <t xml:space="preserve">
</t>
        </r>
      </text>
    </comment>
    <comment ref="D54" authorId="0" shapeId="0" xr:uid="{DA901444-02B1-45E9-86A7-FACF18A72A5E}">
      <text>
        <r>
          <rPr>
            <b/>
            <sz val="9"/>
            <color indexed="81"/>
            <rFont val="Tahoma"/>
            <family val="2"/>
          </rPr>
          <t xml:space="preserve">Repairs to big hall boiler after 1st Jan flood. Pump in office found to be submerged in flood water and needed to be replaced
</t>
        </r>
        <r>
          <rPr>
            <sz val="9"/>
            <color indexed="81"/>
            <rFont val="Tahoma"/>
            <family val="2"/>
          </rPr>
          <t xml:space="preserve">
</t>
        </r>
      </text>
    </comment>
    <comment ref="D62" authorId="0" shapeId="0" xr:uid="{2FB70E59-0833-4224-A866-96D7461F0BA5}">
      <text>
        <r>
          <rPr>
            <b/>
            <sz val="9"/>
            <color indexed="81"/>
            <rFont val="Tahoma"/>
            <family val="2"/>
          </rPr>
          <t>every two years these pads need replacing as they go out of date</t>
        </r>
        <r>
          <rPr>
            <sz val="9"/>
            <color indexed="81"/>
            <rFont val="Tahoma"/>
            <family val="2"/>
          </rPr>
          <t xml:space="preserve">
</t>
        </r>
      </text>
    </comment>
    <comment ref="D63" authorId="0" shapeId="0" xr:uid="{18FD678A-F334-452A-8975-308534527491}">
      <text>
        <r>
          <rPr>
            <b/>
            <sz val="9"/>
            <color indexed="81"/>
            <rFont val="Tahoma"/>
            <family val="2"/>
          </rPr>
          <t>refunded 2nd June as cancelled</t>
        </r>
        <r>
          <rPr>
            <sz val="9"/>
            <color indexed="81"/>
            <rFont val="Tahoma"/>
            <family val="2"/>
          </rPr>
          <t xml:space="preserve">
</t>
        </r>
      </text>
    </comment>
    <comment ref="D64" authorId="0" shapeId="0" xr:uid="{BE8BC9D2-768A-44D6-9A6E-E762D6FDE4D7}">
      <text>
        <r>
          <rPr>
            <b/>
            <sz val="9"/>
            <color indexed="81"/>
            <rFont val="Tahoma"/>
            <family val="2"/>
          </rPr>
          <t>this was hire by wbc for local elections polling station</t>
        </r>
        <r>
          <rPr>
            <sz val="9"/>
            <color indexed="81"/>
            <rFont val="Tahoma"/>
            <family val="2"/>
          </rPr>
          <t xml:space="preserve">
</t>
        </r>
      </text>
    </comment>
    <comment ref="D74" authorId="0" shapeId="0" xr:uid="{689D8923-5307-4FB9-BBD9-F30C758FAE5E}">
      <text>
        <r>
          <rPr>
            <b/>
            <sz val="9"/>
            <color indexed="81"/>
            <rFont val="Tahoma"/>
            <family val="2"/>
          </rPr>
          <t>for the purchase of a new flag (20.99) and also for a new floor mat (19.99)</t>
        </r>
        <r>
          <rPr>
            <sz val="9"/>
            <color indexed="81"/>
            <rFont val="Tahoma"/>
            <family val="2"/>
          </rPr>
          <t xml:space="preserve">
</t>
        </r>
      </text>
    </comment>
    <comment ref="D75" authorId="0" shapeId="0" xr:uid="{70E58D34-7627-4F0E-8DEF-19C93DB00465}">
      <text>
        <r>
          <rPr>
            <b/>
            <sz val="9"/>
            <color indexed="81"/>
            <rFont val="Tahoma"/>
            <family val="2"/>
          </rPr>
          <t>For a 3kwh electric heater to supplement hall heating during cold spells</t>
        </r>
        <r>
          <rPr>
            <sz val="9"/>
            <color indexed="81"/>
            <rFont val="Tahoma"/>
            <family val="2"/>
          </rPr>
          <t xml:space="preserve">
</t>
        </r>
      </text>
    </comment>
    <comment ref="D76" authorId="0" shapeId="0" xr:uid="{88A14635-7B92-4873-91F2-9813AAAE5ACD}">
      <text>
        <r>
          <rPr>
            <b/>
            <sz val="9"/>
            <color indexed="81"/>
            <rFont val="Tahoma"/>
            <family val="2"/>
          </rPr>
          <t>For monthly payment to Ionos foe website</t>
        </r>
        <r>
          <rPr>
            <sz val="9"/>
            <color indexed="81"/>
            <rFont val="Tahoma"/>
            <family val="2"/>
          </rPr>
          <t xml:space="preserve">
</t>
        </r>
      </text>
    </comment>
    <comment ref="D82" authorId="0" shapeId="0" xr:uid="{AD96A983-1D05-47F7-8BD4-6E9A7C47AC91}">
      <text>
        <r>
          <rPr>
            <b/>
            <sz val="9"/>
            <color indexed="81"/>
            <rFont val="Tahoma"/>
            <family val="2"/>
          </rPr>
          <t>4 x window clean</t>
        </r>
        <r>
          <rPr>
            <sz val="9"/>
            <color indexed="81"/>
            <rFont val="Tahoma"/>
            <family val="2"/>
          </rPr>
          <t xml:space="preserve">
</t>
        </r>
      </text>
    </comment>
    <comment ref="D83" authorId="0" shapeId="0" xr:uid="{3DE2DB30-2C05-40EA-93B3-8F2C7C5326A1}">
      <text>
        <r>
          <rPr>
            <b/>
            <sz val="9"/>
            <color indexed="81"/>
            <rFont val="Tahoma"/>
            <family val="2"/>
          </rPr>
          <t>general cleaning materials including flood clean up item from January</t>
        </r>
        <r>
          <rPr>
            <sz val="9"/>
            <color indexed="81"/>
            <rFont val="Tahoma"/>
            <family val="2"/>
          </rPr>
          <t xml:space="preserve">
</t>
        </r>
      </text>
    </comment>
    <comment ref="D84" authorId="0" shapeId="0" xr:uid="{C35E4209-55BB-44BE-8FF9-C4FACF606BBE}">
      <text>
        <r>
          <rPr>
            <b/>
            <sz val="9"/>
            <color indexed="81"/>
            <rFont val="Tahoma"/>
            <family val="2"/>
          </rPr>
          <t>receipt book</t>
        </r>
        <r>
          <rPr>
            <sz val="9"/>
            <color indexed="81"/>
            <rFont val="Tahoma"/>
            <family val="2"/>
          </rPr>
          <t xml:space="preserve">
</t>
        </r>
      </text>
    </comment>
    <comment ref="D85" authorId="0" shapeId="0" xr:uid="{58D3B324-415A-413F-BFE2-678C96D8B668}">
      <text>
        <r>
          <rPr>
            <b/>
            <sz val="9"/>
            <color indexed="81"/>
            <rFont val="Tahoma"/>
            <family val="2"/>
          </rPr>
          <t>balance on account refund after closure of contract woth Cathedral Hygiene (PHS)</t>
        </r>
        <r>
          <rPr>
            <sz val="9"/>
            <color indexed="81"/>
            <rFont val="Tahoma"/>
            <family val="2"/>
          </rPr>
          <t xml:space="preserve">
</t>
        </r>
      </text>
    </comment>
    <comment ref="G161" authorId="0" shapeId="0" xr:uid="{96841971-E95A-49AE-975C-12C9C89B8576}">
      <text>
        <r>
          <rPr>
            <b/>
            <sz val="9"/>
            <color indexed="81"/>
            <rFont val="Tahoma"/>
            <family val="2"/>
          </rPr>
          <t>the invoice was submitted april 2024 and can be found in previous years file</t>
        </r>
        <r>
          <rPr>
            <sz val="9"/>
            <color indexed="81"/>
            <rFont val="Tahoma"/>
            <family val="2"/>
          </rPr>
          <t xml:space="preserve">
</t>
        </r>
      </text>
    </comment>
    <comment ref="D164" authorId="0" shapeId="0" xr:uid="{072E43CA-D909-4241-B1CE-FAC3EF330D05}">
      <text>
        <r>
          <rPr>
            <b/>
            <sz val="9"/>
            <color indexed="81"/>
            <rFont val="Tahoma"/>
            <family val="2"/>
          </rPr>
          <t>for decoration to small hall and corridor. The big hall and entrance to be completed later in the year</t>
        </r>
        <r>
          <rPr>
            <sz val="9"/>
            <color indexed="81"/>
            <rFont val="Tahoma"/>
            <family val="2"/>
          </rPr>
          <t xml:space="preserve">
</t>
        </r>
      </text>
    </comment>
    <comment ref="D171" authorId="0" shapeId="0" xr:uid="{BC229084-75CE-45BE-98F5-54F9518A8B7F}">
      <text>
        <r>
          <rPr>
            <b/>
            <sz val="9"/>
            <color indexed="81"/>
            <rFont val="Tahoma"/>
            <family val="2"/>
          </rPr>
          <t>insurance payout for 2nd flood on 1st Jan 2025. We chose to change wooden floor to a solid concrete floor with underfloor heating in the big hall</t>
        </r>
        <r>
          <rPr>
            <sz val="9"/>
            <color indexed="81"/>
            <rFont val="Tahoma"/>
            <family val="2"/>
          </rPr>
          <t xml:space="preserve">
</t>
        </r>
      </text>
    </comment>
    <comment ref="D179" authorId="0" shapeId="0" xr:uid="{73BAA9A1-753A-48DF-AF56-785E2C275109}">
      <text>
        <r>
          <rPr>
            <b/>
            <sz val="9"/>
            <color indexed="81"/>
            <rFont val="Tahoma"/>
            <family val="2"/>
          </rPr>
          <t>For monthly payment to Ionos foe website</t>
        </r>
        <r>
          <rPr>
            <sz val="9"/>
            <color indexed="81"/>
            <rFont val="Tahoma"/>
            <family val="2"/>
          </rPr>
          <t xml:space="preserve">
</t>
        </r>
      </text>
    </comment>
    <comment ref="D195" authorId="0" shapeId="0" xr:uid="{108C20AE-22A4-4E37-8360-8D5529D95804}">
      <text>
        <r>
          <rPr>
            <b/>
            <sz val="9"/>
            <color indexed="81"/>
            <rFont val="Tahoma"/>
            <family val="2"/>
          </rPr>
          <t>For monthly payment to Ionos foe website</t>
        </r>
        <r>
          <rPr>
            <sz val="9"/>
            <color indexed="81"/>
            <rFont val="Tahoma"/>
            <family val="2"/>
          </rPr>
          <t xml:space="preserve">
</t>
        </r>
      </text>
    </comment>
    <comment ref="D207" authorId="0" shapeId="0" xr:uid="{A4C72A35-C0CA-4E57-9EC9-0C8106924EBE}">
      <text>
        <r>
          <rPr>
            <b/>
            <sz val="9"/>
            <color indexed="81"/>
            <rFont val="Tahoma"/>
            <family val="2"/>
          </rPr>
          <t>Flat roof renovation using rubber membrane</t>
        </r>
        <r>
          <rPr>
            <sz val="9"/>
            <color indexed="81"/>
            <rFont val="Tahoma"/>
            <family val="2"/>
          </rPr>
          <t xml:space="preserve">
</t>
        </r>
      </text>
    </comment>
    <comment ref="D219" authorId="0" shapeId="0" xr:uid="{295D05C3-C1F4-4585-8964-5AF2CEBBC77A}">
      <text>
        <r>
          <rPr>
            <b/>
            <sz val="9"/>
            <color indexed="81"/>
            <rFont val="Tahoma"/>
            <family val="2"/>
          </rPr>
          <t>annual service emergency lights, alarm, fire extinguishers, signage etc</t>
        </r>
        <r>
          <rPr>
            <sz val="9"/>
            <color indexed="81"/>
            <rFont val="Tahoma"/>
            <family val="2"/>
          </rPr>
          <t xml:space="preserve">
</t>
        </r>
      </text>
    </comment>
    <comment ref="D220" authorId="0" shapeId="0" xr:uid="{F9001657-ED92-44AF-B918-857EF45588C9}">
      <text>
        <r>
          <rPr>
            <b/>
            <sz val="9"/>
            <color indexed="81"/>
            <rFont val="Tahoma"/>
            <family val="2"/>
          </rPr>
          <t>paints + brushes + PVC trim for doors</t>
        </r>
        <r>
          <rPr>
            <sz val="9"/>
            <color indexed="81"/>
            <rFont val="Tahoma"/>
            <family val="2"/>
          </rPr>
          <t xml:space="preserve">
</t>
        </r>
      </text>
    </comment>
    <comment ref="D226" authorId="0" shapeId="0" xr:uid="{5FD1DA10-CE72-4967-BE69-8284871DCA54}">
      <text>
        <r>
          <rPr>
            <b/>
            <sz val="9"/>
            <color indexed="81"/>
            <rFont val="Tahoma"/>
            <family val="2"/>
          </rPr>
          <t>Bottle of whiskey for Ben Mitchell for checking 2024 accounts and verifying</t>
        </r>
        <r>
          <rPr>
            <sz val="9"/>
            <color indexed="81"/>
            <rFont val="Tahoma"/>
            <family val="2"/>
          </rPr>
          <t xml:space="preserve">
</t>
        </r>
      </text>
    </comment>
    <comment ref="D227" authorId="0" shapeId="0" xr:uid="{5B0BC820-F03A-42F4-8D6A-5108C580D39C}">
      <text>
        <r>
          <rPr>
            <b/>
            <sz val="9"/>
            <color indexed="81"/>
            <rFont val="Tahoma"/>
            <family val="2"/>
          </rPr>
          <t>Upvc door trims and brushes</t>
        </r>
        <r>
          <rPr>
            <sz val="9"/>
            <color indexed="81"/>
            <rFont val="Tahoma"/>
            <family val="2"/>
          </rPr>
          <t xml:space="preserve">
</t>
        </r>
      </text>
    </comment>
    <comment ref="D228" authorId="0" shapeId="0" xr:uid="{87802ED8-3D83-4293-AAD2-A6A33BD12D99}">
      <text>
        <r>
          <rPr>
            <b/>
            <sz val="9"/>
            <color indexed="81"/>
            <rFont val="Tahoma"/>
            <family val="2"/>
          </rPr>
          <t>Monthly Ionos payment for website subscription</t>
        </r>
        <r>
          <rPr>
            <sz val="9"/>
            <color indexed="81"/>
            <rFont val="Tahoma"/>
            <family val="2"/>
          </rPr>
          <t xml:space="preserve">
</t>
        </r>
      </text>
    </comment>
    <comment ref="D286" authorId="0" shapeId="0" xr:uid="{0A8EAFCC-2619-4D5A-8CA6-A77D941EF1CA}">
      <text>
        <r>
          <rPr>
            <b/>
            <sz val="9"/>
            <color indexed="81"/>
            <rFont val="Tahoma"/>
            <family val="2"/>
          </rPr>
          <t>Annual insurance with Ecclesiastical</t>
        </r>
        <r>
          <rPr>
            <sz val="9"/>
            <color indexed="81"/>
            <rFont val="Tahoma"/>
            <family val="2"/>
          </rPr>
          <t xml:space="preserve">
</t>
        </r>
      </text>
    </comment>
    <comment ref="D289" authorId="0" shapeId="0" xr:uid="{102DA1E2-D7B4-48E4-95C6-1243168B534F}">
      <text>
        <r>
          <rPr>
            <b/>
            <sz val="9"/>
            <color indexed="81"/>
            <rFont val="Tahoma"/>
            <family val="2"/>
          </rPr>
          <t>costs from time of second flood (Jan 25), Includes hire of dehumidifiers, wet/dry vac. Lost income during 7 day closure, additional heating as running 24/7 for 4 days</t>
        </r>
        <r>
          <rPr>
            <sz val="9"/>
            <color indexed="81"/>
            <rFont val="Tahoma"/>
            <family val="2"/>
          </rPr>
          <t xml:space="preserve">
</t>
        </r>
      </text>
    </comment>
    <comment ref="D293" authorId="0" shapeId="0" xr:uid="{9A4091DB-44D9-4FE8-9CA4-5CDF3D47E44A}">
      <text>
        <r>
          <rPr>
            <b/>
            <sz val="9"/>
            <color indexed="81"/>
            <rFont val="Tahoma"/>
            <family val="2"/>
          </rPr>
          <t>3 x 20.00 window cleaning</t>
        </r>
        <r>
          <rPr>
            <sz val="9"/>
            <color indexed="81"/>
            <rFont val="Tahoma"/>
            <family val="2"/>
          </rPr>
          <t xml:space="preserve">
</t>
        </r>
      </text>
    </comment>
    <comment ref="D294" authorId="0" shapeId="0" xr:uid="{60081E72-E5F0-454E-818D-ED9FB161A28F}">
      <text>
        <r>
          <rPr>
            <b/>
            <sz val="9"/>
            <color indexed="81"/>
            <rFont val="Tahoma"/>
            <family val="2"/>
          </rPr>
          <t>new toilet brush and drain cover x 1 for outside</t>
        </r>
        <r>
          <rPr>
            <sz val="9"/>
            <color indexed="81"/>
            <rFont val="Tahoma"/>
            <family val="2"/>
          </rPr>
          <t xml:space="preserve">
</t>
        </r>
      </text>
    </comment>
    <comment ref="D295" authorId="0" shapeId="0" xr:uid="{3535FA7D-EF32-47A0-B08C-949994EEDFDE}">
      <text>
        <r>
          <rPr>
            <b/>
            <sz val="9"/>
            <color indexed="81"/>
            <rFont val="Tahoma"/>
            <family val="2"/>
          </rPr>
          <t>9 x arrow signs for flood barriers
4 x drain covers for gullies
1 x car park closed sign
2 x CCTV in operation</t>
        </r>
        <r>
          <rPr>
            <sz val="9"/>
            <color indexed="81"/>
            <rFont val="Tahoma"/>
            <family val="2"/>
          </rPr>
          <t xml:space="preserve">
</t>
        </r>
      </text>
    </comment>
    <comment ref="D296" authorId="0" shapeId="0" xr:uid="{71082103-92B5-40D8-8A0B-0A8A5873EC7D}">
      <text>
        <r>
          <rPr>
            <b/>
            <sz val="9"/>
            <color indexed="81"/>
            <rFont val="Tahoma"/>
            <family val="2"/>
          </rPr>
          <t>Repairs to main roof flashing leading on to flat roof</t>
        </r>
        <r>
          <rPr>
            <sz val="9"/>
            <color indexed="81"/>
            <rFont val="Tahoma"/>
            <family val="2"/>
          </rPr>
          <t xml:space="preserve">
</t>
        </r>
      </text>
    </comment>
    <comment ref="D307" authorId="0" shapeId="0" xr:uid="{1BDB7961-D617-464B-8037-2AD4902476C3}">
      <text>
        <r>
          <rPr>
            <b/>
            <sz val="9"/>
            <color indexed="81"/>
            <rFont val="Tahoma"/>
            <family val="2"/>
          </rPr>
          <t>2 keys cut for garage</t>
        </r>
        <r>
          <rPr>
            <sz val="9"/>
            <color indexed="81"/>
            <rFont val="Tahoma"/>
            <family val="2"/>
          </rPr>
          <t xml:space="preserve">
</t>
        </r>
      </text>
    </comment>
    <comment ref="D308" authorId="0" shapeId="0" xr:uid="{1590077D-506C-446D-B8DB-C6ED40AFB980}">
      <text>
        <r>
          <rPr>
            <b/>
            <sz val="9"/>
            <color indexed="81"/>
            <rFont val="Tahoma"/>
            <family val="2"/>
          </rPr>
          <t>cement, vent = 14.43
Yale lock = 29.00
Knobs and glue = 15.80 to repair toilet flush</t>
        </r>
        <r>
          <rPr>
            <sz val="9"/>
            <color indexed="81"/>
            <rFont val="Tahoma"/>
            <family val="2"/>
          </rPr>
          <t xml:space="preserve">
</t>
        </r>
      </text>
    </comment>
    <comment ref="D313" authorId="0" shapeId="0" xr:uid="{0D196374-F2CD-4A8E-B1CC-B7527BFD022E}">
      <text>
        <r>
          <rPr>
            <b/>
            <sz val="9"/>
            <color indexed="81"/>
            <rFont val="Tahoma"/>
            <family val="2"/>
          </rPr>
          <t xml:space="preserve">Repairs to big hall boiler after 1st Jan flood. Pump in office found to be submerged in flood water and needed to be replaced
</t>
        </r>
        <r>
          <rPr>
            <sz val="9"/>
            <color indexed="81"/>
            <rFont val="Tahoma"/>
            <family val="2"/>
          </rPr>
          <t xml:space="preserve">
</t>
        </r>
      </text>
    </comment>
    <comment ref="D315" authorId="0" shapeId="0" xr:uid="{F0BBB506-CB8C-4D1F-B3B6-56D749D27639}">
      <text>
        <r>
          <rPr>
            <b/>
            <sz val="9"/>
            <color indexed="81"/>
            <rFont val="Tahoma"/>
            <family val="2"/>
          </rPr>
          <t>4 more outside drain covers</t>
        </r>
        <r>
          <rPr>
            <sz val="9"/>
            <color indexed="81"/>
            <rFont val="Tahoma"/>
            <family val="2"/>
          </rPr>
          <t xml:space="preserve">
</t>
        </r>
      </text>
    </comment>
    <comment ref="D329" authorId="0" shapeId="0" xr:uid="{4E66FDD3-DCDB-4AF3-B4DC-8FAD8030CA44}">
      <text>
        <r>
          <rPr>
            <b/>
            <sz val="9"/>
            <color indexed="81"/>
            <rFont val="Tahoma"/>
            <family val="2"/>
          </rPr>
          <t>music license</t>
        </r>
        <r>
          <rPr>
            <sz val="9"/>
            <color indexed="81"/>
            <rFont val="Tahoma"/>
            <family val="2"/>
          </rPr>
          <t xml:space="preserve">
</t>
        </r>
      </text>
    </comment>
    <comment ref="D330" authorId="0" shapeId="0" xr:uid="{42CE1222-6420-407D-98A1-2DFDD2AB0CD0}">
      <text>
        <r>
          <rPr>
            <b/>
            <sz val="9"/>
            <color indexed="81"/>
            <rFont val="Tahoma"/>
            <family val="2"/>
          </rPr>
          <t>Electric room refurb:
4 shelf racking = 29.00
Screws/bolts 5.40
A4 File box 19.00
Key cabinet = 15.99
Rubber flooring = 52.99</t>
        </r>
        <r>
          <rPr>
            <sz val="9"/>
            <color indexed="81"/>
            <rFont val="Tahoma"/>
            <family val="2"/>
          </rPr>
          <t xml:space="preserve">
</t>
        </r>
      </text>
    </comment>
    <comment ref="D331" authorId="0" shapeId="0" xr:uid="{E0DF0AC0-D3CF-4AD7-B9DC-B3D17E77DA19}">
      <text>
        <r>
          <rPr>
            <b/>
            <sz val="9"/>
            <color indexed="81"/>
            <rFont val="Tahoma"/>
            <family val="2"/>
          </rPr>
          <t>Black printer ink xl</t>
        </r>
        <r>
          <rPr>
            <sz val="9"/>
            <color indexed="81"/>
            <rFont val="Tahoma"/>
            <family val="2"/>
          </rPr>
          <t xml:space="preserve">
</t>
        </r>
      </text>
    </comment>
    <comment ref="D332" authorId="0" shapeId="0" xr:uid="{4FEE24B9-1BFC-4B46-B482-12EFA633DAA2}">
      <text>
        <r>
          <rPr>
            <b/>
            <sz val="9"/>
            <color indexed="81"/>
            <rFont val="Tahoma"/>
            <family val="2"/>
          </rPr>
          <t xml:space="preserve">CCA - 1yr subscription 
linked to ACRE
</t>
        </r>
        <r>
          <rPr>
            <sz val="9"/>
            <color indexed="81"/>
            <rFont val="Tahoma"/>
            <family val="2"/>
          </rPr>
          <t xml:space="preserve">
</t>
        </r>
      </text>
    </comment>
    <comment ref="D349" authorId="0" shapeId="0" xr:uid="{D4597C0C-BB00-4288-91D8-1A09830DE499}">
      <text>
        <r>
          <rPr>
            <b/>
            <sz val="9"/>
            <color indexed="81"/>
            <rFont val="Tahoma"/>
            <family val="2"/>
          </rPr>
          <t>Dave Gratton:</t>
        </r>
        <r>
          <rPr>
            <sz val="9"/>
            <color indexed="81"/>
            <rFont val="Tahoma"/>
            <family val="2"/>
          </rPr>
          <t xml:space="preserve">
to fit a new water pump in big hall as existing was inadequate for purpose</t>
        </r>
      </text>
    </comment>
    <comment ref="D364" authorId="0" shapeId="0" xr:uid="{C71291D6-39CE-46F6-A779-91ADA3D685E6}">
      <text>
        <r>
          <rPr>
            <b/>
            <sz val="9"/>
            <color indexed="81"/>
            <rFont val="Tahoma"/>
            <family val="2"/>
          </rPr>
          <t>posts on exit road
postscrete, wooden posts, metal foot, reflectorsx30</t>
        </r>
      </text>
    </comment>
    <comment ref="D366" authorId="0" shapeId="0" xr:uid="{8C915D1D-0F1A-44CD-BC26-037451BEFA86}">
      <text>
        <r>
          <rPr>
            <b/>
            <sz val="9"/>
            <color indexed="81"/>
            <rFont val="Tahoma"/>
            <family val="2"/>
          </rPr>
          <t>cleaning goods off petty cash</t>
        </r>
        <r>
          <rPr>
            <sz val="9"/>
            <color indexed="81"/>
            <rFont val="Tahoma"/>
            <family val="2"/>
          </rPr>
          <t xml:space="preserve">
</t>
        </r>
      </text>
    </comment>
    <comment ref="D367" authorId="0" shapeId="0" xr:uid="{88C2BB0A-C8D9-432B-84C6-C7708A6C9500}">
      <text>
        <r>
          <rPr>
            <b/>
            <sz val="9"/>
            <color indexed="81"/>
            <rFont val="Tahoma"/>
            <family val="2"/>
          </rPr>
          <t>postcrete and mortar</t>
        </r>
        <r>
          <rPr>
            <sz val="9"/>
            <color indexed="81"/>
            <rFont val="Tahoma"/>
            <family val="2"/>
          </rPr>
          <t xml:space="preserve">
</t>
        </r>
      </text>
    </comment>
    <comment ref="D418" authorId="0" shapeId="0" xr:uid="{139C3046-03E4-44A4-847D-8748416032F7}">
      <text>
        <r>
          <rPr>
            <b/>
            <sz val="9"/>
            <color indexed="81"/>
            <rFont val="Tahoma"/>
            <family val="2"/>
          </rPr>
          <t>Damp seal paint
2x2m draught seal
Upvc door/brick seal</t>
        </r>
        <r>
          <rPr>
            <sz val="9"/>
            <color indexed="81"/>
            <rFont val="Tahoma"/>
            <family val="2"/>
          </rPr>
          <t xml:space="preserve">
</t>
        </r>
      </text>
    </comment>
    <comment ref="D425" authorId="0" shapeId="0" xr:uid="{044B91B8-6F94-4129-A0A8-4AE77324BBAF}">
      <text>
        <r>
          <rPr>
            <sz val="9"/>
            <color indexed="81"/>
            <rFont val="Tahoma"/>
            <family val="2"/>
          </rPr>
          <t xml:space="preserve">small hall flush, renew leaking elbow in corridor
</t>
        </r>
      </text>
    </comment>
    <comment ref="D426" authorId="0" shapeId="0" xr:uid="{64C1F35F-C715-484B-A7BD-2045A2154BDE}">
      <text>
        <r>
          <rPr>
            <b/>
            <sz val="9"/>
            <color indexed="81"/>
            <rFont val="Tahoma"/>
            <family val="2"/>
          </rPr>
          <t>floor repairs, sanding and renew 2sq mtrs floor boards and cement threshols on 2 exit doors for flood barriers.
There were problems with gaps in floor polishing and also major problems with new floor boards severely warping. Only paid 50% of this bill until job is done satisfactorily</t>
        </r>
        <r>
          <rPr>
            <sz val="9"/>
            <color indexed="81"/>
            <rFont val="Tahoma"/>
            <family val="2"/>
          </rPr>
          <t xml:space="preserve">
</t>
        </r>
      </text>
    </comment>
    <comment ref="D434" authorId="0" shapeId="0" xr:uid="{0A48E1D4-C2EC-4B00-8BC8-0A841E9EDF14}">
      <text>
        <r>
          <rPr>
            <b/>
            <sz val="9"/>
            <color indexed="81"/>
            <rFont val="Tahoma"/>
            <family val="2"/>
          </rPr>
          <t>dogs guide</t>
        </r>
        <r>
          <rPr>
            <sz val="9"/>
            <color indexed="81"/>
            <rFont val="Tahoma"/>
            <family val="2"/>
          </rPr>
          <t xml:space="preserve">
</t>
        </r>
      </text>
    </comment>
    <comment ref="D435" authorId="0" shapeId="0" xr:uid="{1E57AF8F-55A9-4F95-9486-55A37CAFD13A}">
      <text>
        <r>
          <rPr>
            <b/>
            <sz val="9"/>
            <color indexed="81"/>
            <rFont val="Tahoma"/>
            <family val="2"/>
          </rPr>
          <t>new kettle for big hall due to water heater not working</t>
        </r>
        <r>
          <rPr>
            <sz val="9"/>
            <color indexed="81"/>
            <rFont val="Tahoma"/>
            <family val="2"/>
          </rPr>
          <t xml:space="preserve">
</t>
        </r>
      </text>
    </comment>
    <comment ref="D436" authorId="0" shapeId="0" xr:uid="{3BB3DDE3-F607-4497-87C2-2905A916CCE1}">
      <text>
        <r>
          <rPr>
            <b/>
            <sz val="9"/>
            <color indexed="81"/>
            <rFont val="Tahoma"/>
            <family val="2"/>
          </rPr>
          <t>table for horseshoes</t>
        </r>
        <r>
          <rPr>
            <sz val="9"/>
            <color indexed="81"/>
            <rFont val="Tahoma"/>
            <family val="2"/>
          </rPr>
          <t xml:space="preserve">
</t>
        </r>
      </text>
    </comment>
    <comment ref="G451" authorId="0" shapeId="0" xr:uid="{CA1C02F2-8BCB-4E09-94A8-C22055A199C3}">
      <text>
        <r>
          <rPr>
            <b/>
            <sz val="9"/>
            <color indexed="81"/>
            <rFont val="Tahoma"/>
            <family val="2"/>
          </rPr>
          <t xml:space="preserve">payment made in 2 parts:
2250.00 paid 19 Sept 25
2250.00 paid 2 Oct 25
</t>
        </r>
        <r>
          <rPr>
            <sz val="9"/>
            <color indexed="81"/>
            <rFont val="Tahoma"/>
            <family val="2"/>
          </rPr>
          <t xml:space="preserve">
</t>
        </r>
      </text>
    </comment>
    <comment ref="D453" authorId="0" shapeId="0" xr:uid="{E1CE164C-232C-4197-BF3F-F8D718A82C76}">
      <text>
        <r>
          <rPr>
            <b/>
            <sz val="9"/>
            <color indexed="81"/>
            <rFont val="Tahoma"/>
            <family val="2"/>
          </rPr>
          <t>assorted items to for skirting board repairs and other joinery work</t>
        </r>
        <r>
          <rPr>
            <sz val="9"/>
            <color indexed="81"/>
            <rFont val="Tahoma"/>
            <family val="2"/>
          </rPr>
          <t xml:space="preserve">
</t>
        </r>
      </text>
    </comment>
    <comment ref="D497" authorId="0" shapeId="0" xr:uid="{D4E00617-59CA-4780-9802-E94639E03624}">
      <text>
        <r>
          <rPr>
            <b/>
            <sz val="9"/>
            <color indexed="81"/>
            <rFont val="Tahoma"/>
            <family val="2"/>
          </rPr>
          <t>batteries @ £3.50
Hoover parts by Annette for £12.79</t>
        </r>
        <r>
          <rPr>
            <sz val="9"/>
            <color indexed="81"/>
            <rFont val="Tahoma"/>
            <family val="2"/>
          </rPr>
          <t xml:space="preserve">
</t>
        </r>
      </text>
    </comment>
    <comment ref="D501" authorId="0" shapeId="0" xr:uid="{E29FF390-6F08-4624-8CC7-2AD7F3253D87}">
      <text>
        <r>
          <rPr>
            <b/>
            <sz val="9"/>
            <color indexed="81"/>
            <rFont val="Tahoma"/>
            <family val="2"/>
          </rPr>
          <t>to fix under ground leak on fresh water supply at front of building</t>
        </r>
        <r>
          <rPr>
            <sz val="9"/>
            <color indexed="81"/>
            <rFont val="Tahoma"/>
            <family val="2"/>
          </rPr>
          <t xml:space="preserve">
</t>
        </r>
      </text>
    </comment>
    <comment ref="D529" authorId="0" shapeId="0" xr:uid="{C322C467-C6D7-40F4-8121-7B1DB9DF5874}">
      <text>
        <r>
          <rPr>
            <b/>
            <sz val="9"/>
            <color indexed="81"/>
            <rFont val="Tahoma"/>
            <family val="2"/>
          </rPr>
          <t>made purchse of xmas raffle tickets too late (online) and chose to have a refund</t>
        </r>
        <r>
          <rPr>
            <sz val="9"/>
            <color indexed="81"/>
            <rFont val="Tahoma"/>
            <family val="2"/>
          </rPr>
          <t xml:space="preserve">
</t>
        </r>
      </text>
    </comment>
    <comment ref="D531" authorId="0" shapeId="0" xr:uid="{1EB691E2-F298-48E9-8F18-028DD8456A42}">
      <text>
        <r>
          <rPr>
            <b/>
            <sz val="9"/>
            <color indexed="81"/>
            <rFont val="Tahoma"/>
            <family val="2"/>
          </rPr>
          <t>cost of £25 voucher used for prize in xmas raffle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Dave Gratton</author>
  </authors>
  <commentList>
    <comment ref="B4" authorId="0" shapeId="0" xr:uid="{4E4A8AF2-2FE9-43EF-A1AB-E35B72DF4C66}">
      <text>
        <r>
          <rPr>
            <b/>
            <sz val="9"/>
            <color indexed="81"/>
            <rFont val="Tahoma"/>
            <family val="2"/>
          </rPr>
          <t>1 rentals
2.rental refunds
3. Grant Income
4. Car Park Income
5.Donations Income
6. Interest On Capital
7. Other Income
10. Rent, Rates
11.Water
12. Insurance
13. Electricity
14. Gas
15. Wages
16. Telephany
17. Post/stationary
18. Advertising
19. Repairs and renewals
20. Household and Cleaning
21. Sundry Expenses
22. Fees and Licenses
23. Waste
24. Gardening
25. Window Cleaning</t>
        </r>
        <r>
          <rPr>
            <sz val="9"/>
            <color indexed="81"/>
            <rFont val="Tahoma"/>
            <family val="2"/>
          </rPr>
          <t xml:space="preserve">
</t>
        </r>
      </text>
    </comment>
    <comment ref="M12" authorId="0" shapeId="0" xr:uid="{B7B2077C-ADBB-43DE-8E68-C9ED434B8E58}">
      <text>
        <r>
          <rPr>
            <b/>
            <sz val="9"/>
            <color indexed="81"/>
            <rFont val="Tahoma"/>
            <family val="2"/>
          </rPr>
          <t>insurance payout for costs incurred by cvmh to clear 2nd flood</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Dave Gratton</author>
  </authors>
  <commentList>
    <comment ref="R3" authorId="0" shapeId="0" xr:uid="{66553A32-12E2-4BEC-844C-E71B5049A6CF}">
      <text>
        <r>
          <rPr>
            <b/>
            <sz val="9"/>
            <color indexed="81"/>
            <rFont val="Tahoma"/>
            <family val="2"/>
          </rPr>
          <t>this could be 19083.69</t>
        </r>
        <r>
          <rPr>
            <sz val="9"/>
            <color indexed="81"/>
            <rFont val="Tahoma"/>
            <family val="2"/>
          </rPr>
          <t xml:space="preserve">
</t>
        </r>
      </text>
    </comment>
    <comment ref="A9" authorId="0" shapeId="0" xr:uid="{00000000-0006-0000-0600-000001000000}">
      <text>
        <r>
          <rPr>
            <b/>
            <sz val="9"/>
            <color indexed="81"/>
            <rFont val="Tahoma"/>
            <family val="2"/>
          </rPr>
          <t>35 day acct. interest rate at .75% until jun 2020 and .1%onwards</t>
        </r>
        <r>
          <rPr>
            <sz val="9"/>
            <color indexed="81"/>
            <rFont val="Tahoma"/>
            <family val="2"/>
          </rPr>
          <t xml:space="preserve">
</t>
        </r>
      </text>
    </comment>
    <comment ref="E38" authorId="0" shapeId="0" xr:uid="{2F63694F-DDDC-4AAC-8726-34A07F167B33}">
      <text>
        <r>
          <rPr>
            <b/>
            <sz val="9"/>
            <color indexed="81"/>
            <rFont val="Tahoma"/>
            <family val="2"/>
          </rPr>
          <t xml:space="preserve">various items to repair / improve the blinds in both rooms. </t>
        </r>
        <r>
          <rPr>
            <sz val="9"/>
            <color indexed="81"/>
            <rFont val="Tahoma"/>
            <family val="2"/>
          </rPr>
          <t xml:space="preserve">
</t>
        </r>
      </text>
    </comment>
    <comment ref="C42" authorId="0" shapeId="0" xr:uid="{BCF22C72-41F9-4C0A-81FF-054C61D9FE84}">
      <text>
        <r>
          <rPr>
            <b/>
            <sz val="9"/>
            <color indexed="81"/>
            <rFont val="Tahoma"/>
            <family val="2"/>
          </rPr>
          <t>ERROR - an overpayment of 28.38 was made with this and should only have been 101.08. A refund has been made from C Barton of 28.38 to village hall dated 6th July 24</t>
        </r>
        <r>
          <rPr>
            <sz val="9"/>
            <color indexed="81"/>
            <rFont val="Tahoma"/>
            <family val="2"/>
          </rPr>
          <t xml:space="preserve">
</t>
        </r>
      </text>
    </comment>
  </commentList>
</comments>
</file>

<file path=xl/sharedStrings.xml><?xml version="1.0" encoding="utf-8"?>
<sst xmlns="http://schemas.openxmlformats.org/spreadsheetml/2006/main" count="2457" uniqueCount="556">
  <si>
    <t>Date</t>
  </si>
  <si>
    <t>Trans</t>
  </si>
  <si>
    <t>Description</t>
  </si>
  <si>
    <t>Amount</t>
  </si>
  <si>
    <t>Total</t>
  </si>
  <si>
    <t>Seq Ref</t>
  </si>
  <si>
    <t>Comment</t>
  </si>
  <si>
    <t>c/f</t>
  </si>
  <si>
    <t>DD</t>
  </si>
  <si>
    <t>SO</t>
  </si>
  <si>
    <t>Naylor Trust</t>
  </si>
  <si>
    <t>BT</t>
  </si>
  <si>
    <t>Water Plus</t>
  </si>
  <si>
    <t>Insurance</t>
  </si>
  <si>
    <t>Croft WI</t>
  </si>
  <si>
    <t>Croft Bowling</t>
  </si>
  <si>
    <t>Hall Refund</t>
  </si>
  <si>
    <t>Hall Rental</t>
  </si>
  <si>
    <t>Net Hall Rental</t>
  </si>
  <si>
    <t>Grant Income</t>
  </si>
  <si>
    <t>Other Income</t>
  </si>
  <si>
    <t>Total Income</t>
  </si>
  <si>
    <t>Car Park Income</t>
  </si>
  <si>
    <t>Wages</t>
  </si>
  <si>
    <t>Interest OC</t>
  </si>
  <si>
    <t xml:space="preserve"> +/- £</t>
  </si>
  <si>
    <t xml:space="preserve"> +/-%</t>
  </si>
  <si>
    <t>Waste</t>
  </si>
  <si>
    <t>Gardening</t>
  </si>
  <si>
    <t>Desc</t>
  </si>
  <si>
    <t>Profit/Loss</t>
  </si>
  <si>
    <t>Interest On Capital</t>
  </si>
  <si>
    <t>Qtr 1</t>
  </si>
  <si>
    <t>Qtr 2</t>
  </si>
  <si>
    <t>Qtr 3</t>
  </si>
  <si>
    <t>Qtr 4</t>
  </si>
  <si>
    <t>Donations Income</t>
  </si>
  <si>
    <t>Rent and Rates</t>
  </si>
  <si>
    <t>Water</t>
  </si>
  <si>
    <t>Electricity</t>
  </si>
  <si>
    <t>Gas</t>
  </si>
  <si>
    <t>Telelephany</t>
  </si>
  <si>
    <t>Post and Stationary</t>
  </si>
  <si>
    <t>Advertising</t>
  </si>
  <si>
    <t>Repairs and Renewals</t>
  </si>
  <si>
    <t>Household and Cleaning</t>
  </si>
  <si>
    <t>Sundry Expenses</t>
  </si>
  <si>
    <t>Fees and Licenses</t>
  </si>
  <si>
    <t>Total Expenses</t>
  </si>
  <si>
    <t>Window Cleaning</t>
  </si>
  <si>
    <t>interest</t>
  </si>
  <si>
    <t xml:space="preserve"> </t>
  </si>
  <si>
    <t>SUMIF(I35:I256,"4",M35:M256)</t>
  </si>
  <si>
    <t>Croft Carnival Committee</t>
  </si>
  <si>
    <t xml:space="preserve">BT </t>
  </si>
  <si>
    <t>Current Acct B/F</t>
  </si>
  <si>
    <t>Current Acct IN</t>
  </si>
  <si>
    <t>Current Acct OUT</t>
  </si>
  <si>
    <t>Liquidity Manager B/F</t>
  </si>
  <si>
    <t>Liquidity Mgr IN</t>
  </si>
  <si>
    <t>Liquidity Mgr OUT</t>
  </si>
  <si>
    <t>Current Acct C/F</t>
  </si>
  <si>
    <t>Liquidity Mgr C/F</t>
  </si>
  <si>
    <t>Petty Cash Float</t>
  </si>
  <si>
    <t>Total Cash</t>
  </si>
  <si>
    <t>Liquidity Acct</t>
  </si>
  <si>
    <t xml:space="preserve"> 01-02-46</t>
  </si>
  <si>
    <t>Current Acct</t>
  </si>
  <si>
    <t>02245701</t>
  </si>
  <si>
    <t>Croft Village Hall</t>
  </si>
  <si>
    <t>Croft Village Memorial Hall</t>
  </si>
  <si>
    <t>Dec 2020-Nov 2021</t>
  </si>
  <si>
    <t>Dec 2021 - Nov 2022</t>
  </si>
  <si>
    <t>petty cash</t>
  </si>
  <si>
    <t>Cathedral Hygiene</t>
  </si>
  <si>
    <t>online</t>
  </si>
  <si>
    <t>liquidity</t>
  </si>
  <si>
    <t>memorable word for nat west acct = Barton</t>
  </si>
  <si>
    <t>Warrington Borough Council</t>
  </si>
  <si>
    <t>cash</t>
  </si>
  <si>
    <t>DPC</t>
  </si>
  <si>
    <t xml:space="preserve">Croft WI </t>
  </si>
  <si>
    <t>EBP</t>
  </si>
  <si>
    <t>BAC</t>
  </si>
  <si>
    <t>Allied Westminster Insurance</t>
  </si>
  <si>
    <t>cheque</t>
  </si>
  <si>
    <t>Legends Dance (Rachel Scott)</t>
  </si>
  <si>
    <t>Chenjiagou,(Tai Chi)</t>
  </si>
  <si>
    <t>North Cheshire SPI (Spinners and Weavers)</t>
  </si>
  <si>
    <t>Pointon, AC&amp;CJ (Circle Dance)</t>
  </si>
  <si>
    <t>Williams LA (Blossoms Pilate)</t>
  </si>
  <si>
    <t>Nickisson (Yoga)</t>
  </si>
  <si>
    <t>Croft WI (Walking Netball)</t>
  </si>
  <si>
    <t>Grimshaw, S (Daten Photographic Club</t>
  </si>
  <si>
    <t>Killen, Ruth (T&amp;Tango)</t>
  </si>
  <si>
    <t>Appleton, C&amp;R (Pilates)</t>
  </si>
  <si>
    <t>Bailey HA (Yoga)</t>
  </si>
  <si>
    <t>Croft Scouts</t>
  </si>
  <si>
    <t>Laing, J</t>
  </si>
  <si>
    <t>Chespack Hygiene</t>
  </si>
  <si>
    <t>Ingam D+J, (gardening)</t>
  </si>
  <si>
    <t>SSE Electric</t>
  </si>
  <si>
    <t>other</t>
  </si>
  <si>
    <t>Yr 2022/23</t>
  </si>
  <si>
    <t>B Baby Sensory</t>
  </si>
  <si>
    <t>Anderson LC (private function)</t>
  </si>
  <si>
    <t>Lyons, J (Croft Rangers)</t>
  </si>
  <si>
    <t xml:space="preserve">Croft WI  </t>
  </si>
  <si>
    <t>SSE Gas</t>
  </si>
  <si>
    <t>Croft School Car Park Access</t>
  </si>
  <si>
    <t>ATC Car Park Access</t>
  </si>
  <si>
    <t>C Barton</t>
  </si>
  <si>
    <t>Annette Clarke</t>
  </si>
  <si>
    <t>Clarke, K (private function)</t>
  </si>
  <si>
    <t>SBT</t>
  </si>
  <si>
    <t>amazon</t>
  </si>
  <si>
    <t>Annette Clarke pay</t>
  </si>
  <si>
    <t>Slimming World E, Dewan</t>
  </si>
  <si>
    <t>Annette Clarke petty cash</t>
  </si>
  <si>
    <t>x</t>
  </si>
  <si>
    <t>chq</t>
  </si>
  <si>
    <t>Greg Duckers</t>
  </si>
  <si>
    <t>Christine Barton</t>
  </si>
  <si>
    <t>Croft WI Meeting</t>
  </si>
  <si>
    <t>Annette Clarke Nov pay</t>
  </si>
  <si>
    <t>Dec 2022 - Nov 2023</t>
  </si>
  <si>
    <t>liquidity 95</t>
  </si>
  <si>
    <t>liquidity 35</t>
  </si>
  <si>
    <t>current account</t>
  </si>
  <si>
    <t>diff</t>
  </si>
  <si>
    <t>interest + compensation</t>
  </si>
  <si>
    <t>in = 26120.63, out = 34731.44</t>
  </si>
  <si>
    <t>Nat West Current Account</t>
  </si>
  <si>
    <t>Nat West Liquidity 35 Account</t>
  </si>
  <si>
    <t>Nat wWest Liquidity 95 Account</t>
  </si>
  <si>
    <t>2023Qtr1</t>
  </si>
  <si>
    <t>2024 Qtr1</t>
  </si>
  <si>
    <t>Beer Festival out</t>
  </si>
  <si>
    <t>Beer Festival Income</t>
  </si>
  <si>
    <t>Beer Festival Outgoings</t>
  </si>
  <si>
    <t>Profit &amp; Loss Statement CVMH Dec 2023 - Nov 2024</t>
  </si>
  <si>
    <t>Yr 2023/24</t>
  </si>
  <si>
    <t>Warrington B C</t>
  </si>
  <si>
    <t>Ingham D (Gardener)</t>
  </si>
  <si>
    <t>Barlow A (private function)</t>
  </si>
  <si>
    <t>Gratton D (Floor repairs)</t>
  </si>
  <si>
    <t>Gratton D (Mob phone 1st payment)</t>
  </si>
  <si>
    <t>Beer Festival income</t>
  </si>
  <si>
    <t>Beer Festival outgoings</t>
  </si>
  <si>
    <t>Telelephany, Computing</t>
  </si>
  <si>
    <t>Telelephany/Computing</t>
  </si>
  <si>
    <t>Annete Clarke pay</t>
  </si>
  <si>
    <t>McConville, V (private function)</t>
  </si>
  <si>
    <t>Wilkinson, Karen - Dancing</t>
  </si>
  <si>
    <t>Robinson, M (private function)</t>
  </si>
  <si>
    <t>Allied Westminster (Insurance)</t>
  </si>
  <si>
    <t>D Gratton (for domain name)</t>
  </si>
  <si>
    <t>Croft WI  (insurance)</t>
  </si>
  <si>
    <t>Dean, Laura (private function)</t>
  </si>
  <si>
    <t>The General Elliott</t>
  </si>
  <si>
    <t>Tesco Mobile</t>
  </si>
  <si>
    <t>Carm, J (private function)</t>
  </si>
  <si>
    <t>Gething, JC (private function)</t>
  </si>
  <si>
    <t>Freeman, J (private function)</t>
  </si>
  <si>
    <t>Hamps, R (private function)</t>
  </si>
  <si>
    <t>Coon, Gillian</t>
  </si>
  <si>
    <t>Barton, C</t>
  </si>
  <si>
    <t>HRWL Insurance Excess (for floor)</t>
  </si>
  <si>
    <t>Annette Clarke cleaning supplies</t>
  </si>
  <si>
    <t>SSE electric</t>
  </si>
  <si>
    <t>Reactive Ltd (private function)</t>
  </si>
  <si>
    <t>daily usage</t>
  </si>
  <si>
    <t>readings</t>
  </si>
  <si>
    <t>Burke, E (private function)</t>
  </si>
  <si>
    <t>E</t>
  </si>
  <si>
    <t>c</t>
  </si>
  <si>
    <t>usage</t>
  </si>
  <si>
    <t>days</t>
  </si>
  <si>
    <t>Dunwoody, N (private function)</t>
  </si>
  <si>
    <t>Croft Agriculture Diss (private function)</t>
  </si>
  <si>
    <t>C Barton - repairs</t>
  </si>
  <si>
    <t>C Barton - Stationary/Postage</t>
  </si>
  <si>
    <t>Croft Christ Church - Advert</t>
  </si>
  <si>
    <t>Gill Coon - repairs to blinds</t>
  </si>
  <si>
    <t>C Barton - key safe from Amazon</t>
  </si>
  <si>
    <t>Mistry, S (private function)</t>
  </si>
  <si>
    <t>Firecheck (annual service)</t>
  </si>
  <si>
    <t>Annette Clarke (petty cash - window cleaning)</t>
  </si>
  <si>
    <t>Annette Clarke (petty cash - new invoice book)</t>
  </si>
  <si>
    <t>C Barton (fire signs)</t>
  </si>
  <si>
    <t>Powell, J&amp;H (private function)</t>
  </si>
  <si>
    <t>Firecheck  (new extinguisher)</t>
  </si>
  <si>
    <t>Birch, Cameron (Joiner)</t>
  </si>
  <si>
    <t>Barton &amp; Gratton</t>
  </si>
  <si>
    <t>C Barton (Ionos payment)</t>
  </si>
  <si>
    <t>C Barton (door handles)</t>
  </si>
  <si>
    <t>Jewel Ltd (private function)</t>
  </si>
  <si>
    <t>Annette Clarke (petty cash cleaning materials)</t>
  </si>
  <si>
    <t>Birchwood &amp; Croft Bridge Club</t>
  </si>
  <si>
    <t>2023Qtr2</t>
  </si>
  <si>
    <t>2024 Qtr2</t>
  </si>
  <si>
    <t>Home Repair Network</t>
  </si>
  <si>
    <t>Annette Clarke May pay</t>
  </si>
  <si>
    <t>C Barton - paint etc</t>
  </si>
  <si>
    <t>Tai Chi</t>
  </si>
  <si>
    <t>Ruth Killen</t>
  </si>
  <si>
    <t>Bridge Club</t>
  </si>
  <si>
    <t>G Coon - blind repairs</t>
  </si>
  <si>
    <t>G Coon - food and drink</t>
  </si>
  <si>
    <t>Derbyshire AJ (private function)</t>
  </si>
  <si>
    <t>2023Qtr3</t>
  </si>
  <si>
    <t>2024 Qtr3</t>
  </si>
  <si>
    <t>2023Qtr4</t>
  </si>
  <si>
    <t>2024 Qtr4</t>
  </si>
  <si>
    <t>neal consrtruction 07458191951</t>
  </si>
  <si>
    <t>left message to phone me back</t>
  </si>
  <si>
    <t>01925 763615</t>
  </si>
  <si>
    <t>paul cleworth 01925 763217</t>
  </si>
  <si>
    <t xml:space="preserve">no answer </t>
  </si>
  <si>
    <t>Senator Construction 01925 480233</t>
  </si>
  <si>
    <t>UKSPF Grant</t>
  </si>
  <si>
    <t>Croft Guide Leaders</t>
  </si>
  <si>
    <t>Error - over payment of 28.38 made. A refund of same amount has been made dated 6th July 24</t>
  </si>
  <si>
    <t>Annette Clarke June pay</t>
  </si>
  <si>
    <t>new doors</t>
  </si>
  <si>
    <t>Aviva (Insurance payout)</t>
  </si>
  <si>
    <t>C Barton repairs</t>
  </si>
  <si>
    <t>PPL PRS Ltd</t>
  </si>
  <si>
    <t>Annette Clarke July pay</t>
  </si>
  <si>
    <t>CVMH Liquidity 35</t>
  </si>
  <si>
    <t>Palmer, A&amp;M (Xmas Fair)</t>
  </si>
  <si>
    <t>Jolliff. C (Xmas Fair)</t>
  </si>
  <si>
    <t>Xmas Fair Tables 2024</t>
  </si>
  <si>
    <t>CVMH Current Acct</t>
  </si>
  <si>
    <t>Bebington, D (Xmas Fair)</t>
  </si>
  <si>
    <t>Dunn, Helen (Xmas Fair)</t>
  </si>
  <si>
    <t>Gates, Sue (Xmas fair)</t>
  </si>
  <si>
    <t>doors</t>
  </si>
  <si>
    <t>Gregory, J (Xmas fair)</t>
  </si>
  <si>
    <t>sue ward TELEPHONE</t>
  </si>
  <si>
    <t>Croft WI Dance</t>
  </si>
  <si>
    <t>ILC-NLP (Floor sanding</t>
  </si>
  <si>
    <t>Xmas Fair</t>
  </si>
  <si>
    <t>Hughes,V (Xmas Fair)</t>
  </si>
  <si>
    <t>Just Rendering</t>
  </si>
  <si>
    <t>Coon, G St Lewis (Xmas Fair)</t>
  </si>
  <si>
    <t>Egerton, JH (xmas fair)</t>
  </si>
  <si>
    <t>Haydock Hedgehog (Xmas fair)</t>
  </si>
  <si>
    <t>Shepherd, J (private function0</t>
  </si>
  <si>
    <t>Leather, BS (Xmas fair)</t>
  </si>
  <si>
    <t>St Lewis' SVP (Xmas fair)</t>
  </si>
  <si>
    <t>Richards, Alice (Xmas fair)</t>
  </si>
  <si>
    <t>Yates, YC  (Xmas Fair)</t>
  </si>
  <si>
    <t>Derbyshire, AJ (private function)</t>
  </si>
  <si>
    <t>Warrington BC</t>
  </si>
  <si>
    <t>Just Rendering Inv 005</t>
  </si>
  <si>
    <t>Just Rendering Inv 007</t>
  </si>
  <si>
    <t>Birch, Cameron (Joiner) Inv0025</t>
  </si>
  <si>
    <t>Birch, Cameron (Joiner) inv0024</t>
  </si>
  <si>
    <t>invoice needed</t>
  </si>
  <si>
    <t>£14664 spent as of 3oct 24 from insurance money</t>
  </si>
  <si>
    <t>Cramer, L&amp;D (private function)</t>
  </si>
  <si>
    <t>Harrison, L (private function)</t>
  </si>
  <si>
    <t>Dixon, KM (Xmas Fair)</t>
  </si>
  <si>
    <t>Trans from Liquidity 35 account</t>
  </si>
  <si>
    <t>Wilks, Norma (private function)</t>
  </si>
  <si>
    <t>Cameron Birch</t>
  </si>
  <si>
    <t>C Barton - Ink</t>
  </si>
  <si>
    <t>nat lottery awards for all</t>
  </si>
  <si>
    <t>Warrington B C Premises License</t>
  </si>
  <si>
    <t>23 EAVES BROW ROAD</t>
  </si>
  <si>
    <t>Croft</t>
  </si>
  <si>
    <t>WARRINGTON</t>
  </si>
  <si>
    <t>Cheshire</t>
  </si>
  <si>
    <t>GILLCOON@HOTMAIL.COM</t>
  </si>
  <si>
    <t>WA3 7LE</t>
  </si>
  <si>
    <t>JBS Lanscape Gardening</t>
  </si>
  <si>
    <t>Rotary Club, Culcheth</t>
  </si>
  <si>
    <t>Approved Roofing</t>
  </si>
  <si>
    <t>Jordan Longbottom</t>
  </si>
  <si>
    <t>C Barton - curtain rail</t>
  </si>
  <si>
    <t>Annete Clarke - 2025 diary</t>
  </si>
  <si>
    <t>Jeffrey Williams</t>
  </si>
  <si>
    <t>Ming Home Maintenance</t>
  </si>
  <si>
    <t>3826-30</t>
  </si>
  <si>
    <t>Kate Burns</t>
  </si>
  <si>
    <t>4211-15</t>
  </si>
  <si>
    <t>Bev Tickle</t>
  </si>
  <si>
    <t>3831-35</t>
  </si>
  <si>
    <t>3086-90</t>
  </si>
  <si>
    <t>2031-35</t>
  </si>
  <si>
    <t>Orrel, SL (private function)</t>
  </si>
  <si>
    <t>0991-95</t>
  </si>
  <si>
    <t>0516-20</t>
  </si>
  <si>
    <t>S&amp;J Doody</t>
  </si>
  <si>
    <t>Barton&amp;Gratton</t>
  </si>
  <si>
    <t>J Flood</t>
  </si>
  <si>
    <t>4206-10</t>
  </si>
  <si>
    <t>2631-35</t>
  </si>
  <si>
    <t xml:space="preserve">CJ &amp;C Lowsley </t>
  </si>
  <si>
    <t>Dobson, Rhianna (private function)</t>
  </si>
  <si>
    <t>A Craddock</t>
  </si>
  <si>
    <t>Pete McCartney</t>
  </si>
  <si>
    <t>0936-40</t>
  </si>
  <si>
    <t>3581-85</t>
  </si>
  <si>
    <t>GB &amp; S Gardener</t>
  </si>
  <si>
    <t>Peter Evans</t>
  </si>
  <si>
    <t>Croft WI - craft night</t>
  </si>
  <si>
    <t>AC Beevers</t>
  </si>
  <si>
    <t>David Monks</t>
  </si>
  <si>
    <t>A &amp; H Dunn</t>
  </si>
  <si>
    <t>Melia Carla</t>
  </si>
  <si>
    <t>4356-60</t>
  </si>
  <si>
    <t>3986-90</t>
  </si>
  <si>
    <t>3926-35</t>
  </si>
  <si>
    <t>3441-45</t>
  </si>
  <si>
    <t>2121-25</t>
  </si>
  <si>
    <t>3776-80</t>
  </si>
  <si>
    <t>Robin Dennehy</t>
  </si>
  <si>
    <t>1206-10</t>
  </si>
  <si>
    <t>Grimes, Beverley (private function)</t>
  </si>
  <si>
    <t>3601-10</t>
  </si>
  <si>
    <t>Hartford Village Hall (new chairs)</t>
  </si>
  <si>
    <t>G Cooper</t>
  </si>
  <si>
    <t>2056-2060</t>
  </si>
  <si>
    <t>Janet Cowley</t>
  </si>
  <si>
    <t>0411-15</t>
  </si>
  <si>
    <t>Linda Buxton</t>
  </si>
  <si>
    <t>Annette Clarke - Xmas decs</t>
  </si>
  <si>
    <t>Croft WI (Insurance contribution)</t>
  </si>
  <si>
    <t>P Carlton</t>
  </si>
  <si>
    <t>Stokes, L (private function)</t>
  </si>
  <si>
    <t>M Williams</t>
  </si>
  <si>
    <t>Gill Coon</t>
  </si>
  <si>
    <t>Cash Payment (Xmas raffle)</t>
  </si>
  <si>
    <t>Paypal iZettle from Xmas Fair</t>
  </si>
  <si>
    <t>diff between start and finish 2023-24</t>
  </si>
  <si>
    <t>start</t>
  </si>
  <si>
    <t>finish</t>
  </si>
  <si>
    <t>Bowls</t>
  </si>
  <si>
    <t>Reactive Ltd</t>
  </si>
  <si>
    <t>raffle L Grundy</t>
  </si>
  <si>
    <t>raffle A&amp;K Piatt</t>
  </si>
  <si>
    <t>raffle G Cooper</t>
  </si>
  <si>
    <t>raffle B&amp;T Crossland</t>
  </si>
  <si>
    <t>raffle Anne Stevenson</t>
  </si>
  <si>
    <t>compensation</t>
  </si>
  <si>
    <t>Drains</t>
  </si>
  <si>
    <t>Repairs and renewals</t>
  </si>
  <si>
    <t>Istalled Hive controls</t>
  </si>
  <si>
    <t>Doors</t>
  </si>
  <si>
    <t>36 new chairs</t>
  </si>
  <si>
    <t>replace damages traffic</t>
  </si>
  <si>
    <t>electrical repairs</t>
  </si>
  <si>
    <t>community day supplies?</t>
  </si>
  <si>
    <t>renew curtain rail</t>
  </si>
  <si>
    <t>fix damaged hanging cutains</t>
  </si>
  <si>
    <t>fix damaged inset mat in corridor</t>
  </si>
  <si>
    <t>Cameron</t>
  </si>
  <si>
    <t>Other</t>
  </si>
  <si>
    <t>flood</t>
  </si>
  <si>
    <t>inset mat in corridor</t>
  </si>
  <si>
    <t>floor sanding</t>
  </si>
  <si>
    <t>DPC/Rendering</t>
  </si>
  <si>
    <t xml:space="preserve">floor </t>
  </si>
  <si>
    <t>left from awards</t>
  </si>
  <si>
    <t>proposed</t>
  </si>
  <si>
    <t>decoration</t>
  </si>
  <si>
    <t>New roof</t>
  </si>
  <si>
    <t>left to use</t>
  </si>
  <si>
    <t>Spinners Weavers</t>
  </si>
  <si>
    <t>Accessori</t>
  </si>
  <si>
    <t>2025 Qtr1</t>
  </si>
  <si>
    <t>2025 Qtr2</t>
  </si>
  <si>
    <t>2025 Qtr3</t>
  </si>
  <si>
    <t>2025 Qtr4</t>
  </si>
  <si>
    <t>Yr 2024/25</t>
  </si>
  <si>
    <t>Snape, F&amp;J (private function</t>
  </si>
  <si>
    <t>Private Function</t>
  </si>
  <si>
    <t>Croft WI Sewing</t>
  </si>
  <si>
    <t>SSE Energy</t>
  </si>
  <si>
    <t>Barlow, A (private function)</t>
  </si>
  <si>
    <t>Woodford, H (private function)</t>
  </si>
  <si>
    <t>Davis, Lauren (private function)</t>
  </si>
  <si>
    <t>Jordo, SF Sian (private function)</t>
  </si>
  <si>
    <t>Aviva Insurance</t>
  </si>
  <si>
    <t>Heywood, J (private function)</t>
  </si>
  <si>
    <t>Bower, E (private function)</t>
  </si>
  <si>
    <t>Anderson, D (private function))</t>
  </si>
  <si>
    <t>D Gratton</t>
  </si>
  <si>
    <t>Gillian Coon</t>
  </si>
  <si>
    <t>Applemill Boiler Services (boiler service)</t>
  </si>
  <si>
    <t>Applemill Boiler Services - Hive Install</t>
  </si>
  <si>
    <t>Applemill Boiler Services</t>
  </si>
  <si>
    <t>SSE Energy - gas</t>
  </si>
  <si>
    <t>Gill Coon - defib pads</t>
  </si>
  <si>
    <t>Mart, Lisa (private function)</t>
  </si>
  <si>
    <t>Warrington BC (elections room hire)</t>
  </si>
  <si>
    <t>Hampson, F (private function)</t>
  </si>
  <si>
    <t>Annette Clarke Feb pay</t>
  </si>
  <si>
    <t>PF</t>
  </si>
  <si>
    <t>Kenrick, Paul (Decorator)</t>
  </si>
  <si>
    <t>Eccleseastical Insurance</t>
  </si>
  <si>
    <t>Grant (The National Lottery Community Fund)</t>
  </si>
  <si>
    <t>Croft WI Meeting (16 Oct)</t>
  </si>
  <si>
    <t>Croft WI Meeting (23/24 Apr)</t>
  </si>
  <si>
    <t>Alarm Doctor (CCTV)</t>
  </si>
  <si>
    <t>Porter, Linda (private function)</t>
  </si>
  <si>
    <t>Mawe, Kimberley (private function)</t>
  </si>
  <si>
    <t>transfer to Liquidity 30 day</t>
  </si>
  <si>
    <t>28/2024</t>
  </si>
  <si>
    <t>Floodplan (flood barriers)</t>
  </si>
  <si>
    <t>Allied Westminster</t>
  </si>
  <si>
    <t>Mart, Lisa (Refund from 6th Feb 25)</t>
  </si>
  <si>
    <t>Annette Clarke (petty cash - windows</t>
  </si>
  <si>
    <t>Annette Clarke (petty cash) Sundry Items</t>
  </si>
  <si>
    <t>Potts, Ian (Roofing)</t>
  </si>
  <si>
    <t>MISSING</t>
  </si>
  <si>
    <t>Ingham, D&amp;J (Gardening) 07976731049</t>
  </si>
  <si>
    <t>Croft WI (afternoon tea)</t>
  </si>
  <si>
    <t xml:space="preserve">Coon, Gillian </t>
  </si>
  <si>
    <t xml:space="preserve">Barton, C </t>
  </si>
  <si>
    <t>Barton, C (Ionos June)</t>
  </si>
  <si>
    <t>Williams LA</t>
  </si>
  <si>
    <t>Davin, Amy Dance Class</t>
  </si>
  <si>
    <t>Cheshire Community Council</t>
  </si>
  <si>
    <t>Aquila heating inspection</t>
  </si>
  <si>
    <t>Barton, C (Ionos July payment)</t>
  </si>
  <si>
    <t>Annette Clarke - diary</t>
  </si>
  <si>
    <t>SSE Energy Electric</t>
  </si>
  <si>
    <t>SSE Energy - Gas</t>
  </si>
  <si>
    <t>SSE Energy Gas</t>
  </si>
  <si>
    <t>Aquila heating</t>
  </si>
  <si>
    <t>Stoev, Ivan I (private function)</t>
  </si>
  <si>
    <t>Clarke, AD (private function)</t>
  </si>
  <si>
    <t>Annette Clarke - petty cash</t>
  </si>
  <si>
    <t>West, Terri (private function)</t>
  </si>
  <si>
    <t>Green, A (private function)</t>
  </si>
  <si>
    <t>Palmer, Michelle - Xmas Fair</t>
  </si>
  <si>
    <t>Bragg, Lee - Xmas fair</t>
  </si>
  <si>
    <t>Acro Gymnastics (private function)</t>
  </si>
  <si>
    <t>Warrington BC (premises license)</t>
  </si>
  <si>
    <t>Darlow, Les - art class</t>
  </si>
  <si>
    <t>Albion, J - Xmas fair</t>
  </si>
  <si>
    <t>Coon, Gillian  - Xmas fair</t>
  </si>
  <si>
    <t>Coon, Gillian - Walking Netball</t>
  </si>
  <si>
    <t>Croft WI - Xmas fair</t>
  </si>
  <si>
    <t>Aquila Heating</t>
  </si>
  <si>
    <t>8th Warr E SC GR - Xmas fair</t>
  </si>
  <si>
    <t>Hughes J&amp;D - xmas fair</t>
  </si>
  <si>
    <t>Coon, Gillian -kettle</t>
  </si>
  <si>
    <t>Jankowski, R - xmas fair</t>
  </si>
  <si>
    <t>Marsh, Linda - Xmas fair</t>
  </si>
  <si>
    <t>Gregory, J - xmas fair</t>
  </si>
  <si>
    <t>Williams. M - xmas fair</t>
  </si>
  <si>
    <t>Liquidity Account</t>
  </si>
  <si>
    <t>Warringtom BC</t>
  </si>
  <si>
    <t>Barton, C (Ionos Aug payment)</t>
  </si>
  <si>
    <t>Parr, V - xmas fair</t>
  </si>
  <si>
    <t>Duckers, Greg - electrician</t>
  </si>
  <si>
    <t>Floodplan</t>
  </si>
  <si>
    <t>Barton, C (Ionos)</t>
  </si>
  <si>
    <t>Barton, C (flag and floor mat)</t>
  </si>
  <si>
    <t>Barton, C (electric heater)</t>
  </si>
  <si>
    <t>Barton, C (Ionos website)</t>
  </si>
  <si>
    <t>Barton, C (Ionos website) Feb 25</t>
  </si>
  <si>
    <t>Barton, C 3 new mats</t>
  </si>
  <si>
    <t>Barton, C (Ionos website) March 25</t>
  </si>
  <si>
    <t>Barton, C (B&amp;Q supplies)</t>
  </si>
  <si>
    <t>Barton, C (Ionos website April 2025)</t>
  </si>
  <si>
    <t>Barton, C - Ionos x 3months</t>
  </si>
  <si>
    <t>Yates, C - xmas fair</t>
  </si>
  <si>
    <t>Leigh, C (private function)</t>
  </si>
  <si>
    <t>Coon, Gillian Croft WI craft morning</t>
  </si>
  <si>
    <t>Barton, C (flag)</t>
  </si>
  <si>
    <t>Annette Clarke Oct pay</t>
  </si>
  <si>
    <t>Trade Vintage (private function)</t>
  </si>
  <si>
    <t>Meadows, Thomas (private function)</t>
  </si>
  <si>
    <t>Halliwell, Kirsty - xmas fair</t>
  </si>
  <si>
    <t>Cramer, Lucy (private function)</t>
  </si>
  <si>
    <t>Gibbons, Ella (private function)</t>
  </si>
  <si>
    <t>NW Folk Dance Group</t>
  </si>
  <si>
    <t>windows</t>
  </si>
  <si>
    <t>battery</t>
  </si>
  <si>
    <t>Annette Clarke Petty Cash</t>
  </si>
  <si>
    <t>Hilton, Jamie-Lee (plumber)</t>
  </si>
  <si>
    <t>British Gas</t>
  </si>
  <si>
    <t>Lowsley, Christopher (xmas Raffle) 07497104428 01691-95</t>
  </si>
  <si>
    <t>Evans, P 07932796477 04431-35</t>
  </si>
  <si>
    <t>Leavitt, LD (raffle) 07974083338 02706-10</t>
  </si>
  <si>
    <t>Andrew Piatt (raffle Tickets) 07905501528 01666-70, 01881-85</t>
  </si>
  <si>
    <t>Doody, J (xmas Raffle) 04311-15 07768079832</t>
  </si>
  <si>
    <t>Ming Home Maint, (xmas Raffle) 07902663510 03626-30</t>
  </si>
  <si>
    <t>Gillen, R (xmas Raffle) 07821410669 01261-65</t>
  </si>
  <si>
    <t>Lindy Fisher (xmas raffle) no text</t>
  </si>
  <si>
    <t>Burns, KA (xmas raffle) no text</t>
  </si>
  <si>
    <t>Barton, C (raffle Tickets) 03441-45</t>
  </si>
  <si>
    <t>Ming Home Maint, (xmas Raffle) 07902663510 03446-65</t>
  </si>
  <si>
    <t>Browning, S&amp;A (raffle tickets) 03373-80 07962188941</t>
  </si>
  <si>
    <t>Hughes, Peter xmas raffle - 58 Round Thorn FP</t>
  </si>
  <si>
    <t xml:space="preserve">Tyrer-Jones, Lou xmas raffle </t>
  </si>
  <si>
    <t>Gardner, GP&amp;S xmas raffle</t>
  </si>
  <si>
    <t>APO Raffle (Wendy Simcock)</t>
  </si>
  <si>
    <t>chk</t>
  </si>
  <si>
    <t>Tickle, S (private function)</t>
  </si>
  <si>
    <t>Barton, C xmas raffle</t>
  </si>
  <si>
    <t>Heyes, Jo xmas raffle</t>
  </si>
  <si>
    <t>Buckley, H xmas raffle but arrived too late</t>
  </si>
  <si>
    <t>Flood, J xmas raffle 01421-25 - arrived too late</t>
  </si>
  <si>
    <t>Tickle, S - (private function)</t>
  </si>
  <si>
    <t xml:space="preserve">Carole Thewsey </t>
  </si>
  <si>
    <t xml:space="preserve">James Flood - refund </t>
  </si>
  <si>
    <t xml:space="preserve">Barton, C Ionos payment November </t>
  </si>
  <si>
    <t>Burns, Neil - xmas fair donation</t>
  </si>
  <si>
    <t>Cooper, B - xmas fair raffle</t>
  </si>
  <si>
    <t>Wilkes, James (private function)</t>
  </si>
  <si>
    <t>Croft Carnival Committee  (private function)</t>
  </si>
  <si>
    <t>50 - not received</t>
  </si>
  <si>
    <t>BF</t>
  </si>
  <si>
    <t>30 private functions 2024</t>
  </si>
  <si>
    <t>Darlow, Les art class</t>
  </si>
  <si>
    <t>**</t>
  </si>
  <si>
    <t>Croft Carnival Committee (advertisement}</t>
  </si>
  <si>
    <t>Repairs to small hall boiler Applemill £300</t>
  </si>
  <si>
    <t>New water pump for big hall that turned out to be inadequate £360</t>
  </si>
  <si>
    <t>A total of £780 to big hall boiler Applemill repairs after flood</t>
  </si>
  <si>
    <t>Aquila new water pump to big hall £760</t>
  </si>
  <si>
    <t>Aquila repairs to small hall boiler £1100</t>
  </si>
  <si>
    <t>Refurbishment to the Electric room</t>
  </si>
  <si>
    <t>New posts on the exit road</t>
  </si>
  <si>
    <t>Dry out big hall after flood £480</t>
  </si>
  <si>
    <t>Door flood barriers installed £5340</t>
  </si>
  <si>
    <t>Fix to the outside water leak £480</t>
  </si>
  <si>
    <t>Big hall floor resanded, varnished and repairs near stage £4500</t>
  </si>
  <si>
    <t>Small hall redecoration £1600</t>
  </si>
  <si>
    <t>New flat roof and repairs £10300</t>
  </si>
  <si>
    <t>Full check on fire safety compliance £260</t>
  </si>
  <si>
    <t>ACHIEVEMENTS</t>
  </si>
  <si>
    <t>less</t>
  </si>
  <si>
    <t>more</t>
  </si>
  <si>
    <t>new</t>
  </si>
  <si>
    <t>leaver</t>
  </si>
  <si>
    <t>Cash from Xmas fair raffle</t>
  </si>
  <si>
    <t>ACHIEVEMENTS in 2025</t>
  </si>
  <si>
    <t>CCTV installed with 4 recordable cameras</t>
  </si>
  <si>
    <t>Davin, Amy (Dance class music theatre)</t>
  </si>
  <si>
    <t>Stocks, S - Infinity Dance</t>
  </si>
  <si>
    <t>who is aj derbyshire as she is listed 4 times as a private function</t>
  </si>
  <si>
    <t>Nos 7 and 12 are both insurance - check</t>
  </si>
  <si>
    <t>check sse gas and elec are correctly listed</t>
  </si>
  <si>
    <t>30 private functions 2025</t>
  </si>
  <si>
    <t>Profit &amp; Loss Statement CVMH Dec 2024 - Nov 2025</t>
  </si>
  <si>
    <t>Croft Parish Council (SLA Birchwood and Croft)</t>
  </si>
  <si>
    <t>Achievements in 2026</t>
  </si>
  <si>
    <t>rental revenue last year was down 10.4%</t>
  </si>
  <si>
    <t>The 1st half of this year rental revenue is up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</si>
</sst>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_ ;[Red]\-0.00\ "/>
    <numFmt numFmtId="165" formatCode="0_ ;[Red]\-0\ "/>
    <numFmt numFmtId="166" formatCode="0.0_ ;[Red]\-0.0\ "/>
    <numFmt numFmtId="167" formatCode="0_ ;\-0\ "/>
    <numFmt numFmtId="169" formatCode="0.0"/>
  </numFmts>
  <fonts count="22" x14ac:knownFonts="1">
    <font>
      <sz val="11"/>
      <color theme="1"/>
      <name val="Calibri"/>
      <family val="2"/>
      <scheme val="minor"/>
    </font>
    <font>
      <sz val="11"/>
      <color theme="1"/>
      <name val="Calibri"/>
      <family val="2"/>
      <scheme val="minor"/>
    </font>
    <font>
      <b/>
      <sz val="11"/>
      <color theme="1"/>
      <name val="Calibri"/>
      <family val="2"/>
      <scheme val="minor"/>
    </font>
    <font>
      <u/>
      <sz val="11"/>
      <color theme="1"/>
      <name val="Calibri"/>
      <family val="2"/>
      <scheme val="minor"/>
    </font>
    <font>
      <sz val="9"/>
      <color theme="1"/>
      <name val="Calibri"/>
      <family val="2"/>
      <scheme val="minor"/>
    </font>
    <font>
      <sz val="8"/>
      <color theme="1"/>
      <name val="Calibri"/>
      <family val="2"/>
      <scheme val="minor"/>
    </font>
    <font>
      <b/>
      <sz val="9"/>
      <color theme="1"/>
      <name val="Calibri"/>
      <family val="2"/>
      <scheme val="minor"/>
    </font>
    <font>
      <b/>
      <sz val="9"/>
      <name val="Calibri"/>
      <family val="2"/>
      <scheme val="minor"/>
    </font>
    <font>
      <u/>
      <sz val="8"/>
      <color theme="1"/>
      <name val="Calibri"/>
      <family val="2"/>
      <scheme val="minor"/>
    </font>
    <font>
      <sz val="11"/>
      <color rgb="FFFF0000"/>
      <name val="Calibri"/>
      <family val="2"/>
      <scheme val="minor"/>
    </font>
    <font>
      <sz val="9"/>
      <color indexed="81"/>
      <name val="Tahoma"/>
      <family val="2"/>
    </font>
    <font>
      <b/>
      <sz val="9"/>
      <color indexed="81"/>
      <name val="Tahoma"/>
      <family val="2"/>
    </font>
    <font>
      <u/>
      <sz val="9"/>
      <color theme="1"/>
      <name val="Calibri"/>
      <family val="2"/>
      <scheme val="minor"/>
    </font>
    <font>
      <sz val="9"/>
      <color rgb="FF444444"/>
      <name val="Arial"/>
      <family val="2"/>
    </font>
    <font>
      <sz val="11"/>
      <name val="Calibri"/>
      <family val="2"/>
      <scheme val="minor"/>
    </font>
    <font>
      <u/>
      <sz val="11"/>
      <color theme="10"/>
      <name val="Calibri"/>
      <family val="2"/>
      <scheme val="minor"/>
    </font>
    <font>
      <b/>
      <u/>
      <sz val="8"/>
      <color theme="1"/>
      <name val="Calibri"/>
      <family val="2"/>
      <scheme val="minor"/>
    </font>
    <font>
      <sz val="9"/>
      <name val="Calibri"/>
      <family val="2"/>
      <scheme val="minor"/>
    </font>
    <font>
      <sz val="12"/>
      <color rgb="FF000000"/>
      <name val="Arial"/>
      <family val="2"/>
    </font>
    <font>
      <i/>
      <sz val="11"/>
      <color theme="1"/>
      <name val="Calibri"/>
      <family val="2"/>
      <scheme val="minor"/>
    </font>
    <font>
      <b/>
      <u/>
      <sz val="11"/>
      <color theme="1"/>
      <name val="Calibri"/>
      <family val="2"/>
      <scheme val="minor"/>
    </font>
    <font>
      <sz val="11"/>
      <color theme="3" tint="0.39997558519241921"/>
      <name val="Calibri"/>
      <family val="2"/>
      <scheme val="minor"/>
    </font>
  </fonts>
  <fills count="2">
    <fill>
      <patternFill patternType="none"/>
    </fill>
    <fill>
      <patternFill patternType="gray125"/>
    </fill>
  </fills>
  <borders count="6">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s>
  <cellStyleXfs count="3">
    <xf numFmtId="0" fontId="0" fillId="0" borderId="0"/>
    <xf numFmtId="9" fontId="1" fillId="0" borderId="0" applyFont="0" applyFill="0" applyBorder="0" applyAlignment="0" applyProtection="0"/>
    <xf numFmtId="0" fontId="15" fillId="0" borderId="0" applyNumberFormat="0" applyFill="0" applyBorder="0" applyAlignment="0" applyProtection="0"/>
  </cellStyleXfs>
  <cellXfs count="84">
    <xf numFmtId="0" fontId="0" fillId="0" borderId="0" xfId="0"/>
    <xf numFmtId="164" fontId="0" fillId="0" borderId="0" xfId="0" applyNumberFormat="1"/>
    <xf numFmtId="0" fontId="0" fillId="0" borderId="0" xfId="0" applyAlignment="1">
      <alignment horizontal="center"/>
    </xf>
    <xf numFmtId="15" fontId="3" fillId="0" borderId="0" xfId="0" applyNumberFormat="1" applyFont="1" applyAlignment="1">
      <alignment horizontal="left" vertical="top"/>
    </xf>
    <xf numFmtId="0" fontId="3" fillId="0" borderId="0" xfId="0" applyFont="1" applyAlignment="1">
      <alignment horizontal="center" vertical="top"/>
    </xf>
    <xf numFmtId="0" fontId="3" fillId="0" borderId="0" xfId="0" applyFont="1" applyAlignment="1">
      <alignment vertical="top"/>
    </xf>
    <xf numFmtId="0" fontId="3" fillId="0" borderId="0" xfId="0" applyFont="1" applyAlignment="1">
      <alignment horizontal="right" vertical="top"/>
    </xf>
    <xf numFmtId="0" fontId="3" fillId="0" borderId="0" xfId="0" applyFont="1"/>
    <xf numFmtId="164" fontId="3" fillId="0" borderId="0" xfId="0" applyNumberFormat="1" applyFont="1" applyAlignment="1">
      <alignment horizontal="right" vertical="top"/>
    </xf>
    <xf numFmtId="164" fontId="0" fillId="0" borderId="0" xfId="0" applyNumberFormat="1" applyAlignment="1">
      <alignment horizontal="right" vertical="top"/>
    </xf>
    <xf numFmtId="0" fontId="2" fillId="0" borderId="0" xfId="0" applyFont="1"/>
    <xf numFmtId="165" fontId="0" fillId="0" borderId="0" xfId="0" applyNumberFormat="1"/>
    <xf numFmtId="1" fontId="0" fillId="0" borderId="0" xfId="0" applyNumberFormat="1"/>
    <xf numFmtId="0" fontId="5" fillId="0" borderId="0" xfId="0" applyFont="1"/>
    <xf numFmtId="16" fontId="0" fillId="0" borderId="0" xfId="0" applyNumberFormat="1"/>
    <xf numFmtId="165" fontId="4" fillId="0" borderId="0" xfId="0" applyNumberFormat="1" applyFont="1"/>
    <xf numFmtId="165" fontId="6" fillId="0" borderId="0" xfId="0" applyNumberFormat="1" applyFont="1"/>
    <xf numFmtId="165" fontId="6" fillId="0" borderId="2" xfId="0" applyNumberFormat="1" applyFont="1" applyBorder="1"/>
    <xf numFmtId="165" fontId="6" fillId="0" borderId="3" xfId="0" applyNumberFormat="1" applyFont="1" applyBorder="1"/>
    <xf numFmtId="165" fontId="8" fillId="0" borderId="0" xfId="0" applyNumberFormat="1" applyFont="1"/>
    <xf numFmtId="165" fontId="8" fillId="0" borderId="0" xfId="0" applyNumberFormat="1" applyFont="1" applyAlignment="1">
      <alignment horizontal="center"/>
    </xf>
    <xf numFmtId="165" fontId="8" fillId="0" borderId="2" xfId="0" applyNumberFormat="1" applyFont="1" applyBorder="1" applyAlignment="1">
      <alignment horizontal="center"/>
    </xf>
    <xf numFmtId="0" fontId="0" fillId="0" borderId="0" xfId="0" applyAlignment="1">
      <alignment horizontal="right"/>
    </xf>
    <xf numFmtId="0" fontId="4" fillId="0" borderId="0" xfId="0" applyFont="1" applyAlignment="1">
      <alignment horizontal="center"/>
    </xf>
    <xf numFmtId="0" fontId="8" fillId="0" borderId="2" xfId="0" applyFont="1" applyBorder="1"/>
    <xf numFmtId="0" fontId="6" fillId="0" borderId="0" xfId="0" applyFont="1" applyAlignment="1">
      <alignment horizontal="center"/>
    </xf>
    <xf numFmtId="15" fontId="0" fillId="0" borderId="0" xfId="0" applyNumberFormat="1"/>
    <xf numFmtId="0" fontId="4" fillId="0" borderId="0" xfId="0" applyFont="1" applyAlignment="1">
      <alignment horizontal="left"/>
    </xf>
    <xf numFmtId="0" fontId="12" fillId="0" borderId="0" xfId="0" applyFont="1" applyAlignment="1">
      <alignment horizontal="left"/>
    </xf>
    <xf numFmtId="1" fontId="13" fillId="0" borderId="0" xfId="0" applyNumberFormat="1" applyFont="1"/>
    <xf numFmtId="0" fontId="4" fillId="0" borderId="0" xfId="0" applyFont="1"/>
    <xf numFmtId="2" fontId="0" fillId="0" borderId="0" xfId="0" applyNumberFormat="1"/>
    <xf numFmtId="165" fontId="5" fillId="0" borderId="2" xfId="0" applyNumberFormat="1" applyFont="1" applyBorder="1"/>
    <xf numFmtId="166" fontId="4" fillId="0" borderId="2" xfId="0" applyNumberFormat="1" applyFont="1" applyBorder="1"/>
    <xf numFmtId="9" fontId="4" fillId="0" borderId="2" xfId="1" applyFont="1" applyBorder="1"/>
    <xf numFmtId="49" fontId="0" fillId="0" borderId="0" xfId="0" applyNumberFormat="1"/>
    <xf numFmtId="0" fontId="3" fillId="0" borderId="0" xfId="0" applyFont="1" applyAlignment="1">
      <alignment horizontal="center"/>
    </xf>
    <xf numFmtId="1" fontId="4" fillId="0" borderId="0" xfId="0" applyNumberFormat="1" applyFont="1"/>
    <xf numFmtId="1" fontId="6" fillId="0" borderId="0" xfId="0" applyNumberFormat="1" applyFont="1"/>
    <xf numFmtId="0" fontId="6" fillId="0" borderId="0" xfId="0" applyFont="1"/>
    <xf numFmtId="0" fontId="9" fillId="0" borderId="0" xfId="0" applyFont="1"/>
    <xf numFmtId="0" fontId="14" fillId="0" borderId="0" xfId="0" applyFont="1"/>
    <xf numFmtId="165" fontId="16" fillId="0" borderId="0" xfId="0" applyNumberFormat="1" applyFont="1"/>
    <xf numFmtId="165" fontId="16" fillId="0" borderId="0" xfId="0" applyNumberFormat="1" applyFont="1" applyAlignment="1">
      <alignment horizontal="center"/>
    </xf>
    <xf numFmtId="165" fontId="16" fillId="0" borderId="2" xfId="0" applyNumberFormat="1" applyFont="1" applyBorder="1" applyAlignment="1">
      <alignment horizontal="center"/>
    </xf>
    <xf numFmtId="0" fontId="14" fillId="0" borderId="0" xfId="2" applyFont="1"/>
    <xf numFmtId="15" fontId="3" fillId="0" borderId="0" xfId="0" applyNumberFormat="1" applyFont="1"/>
    <xf numFmtId="10" fontId="0" fillId="0" borderId="0" xfId="0" applyNumberFormat="1"/>
    <xf numFmtId="164" fontId="4" fillId="0" borderId="0" xfId="0" applyNumberFormat="1" applyFont="1"/>
    <xf numFmtId="164" fontId="6" fillId="0" borderId="0" xfId="0" applyNumberFormat="1" applyFont="1"/>
    <xf numFmtId="165" fontId="6" fillId="0" borderId="2" xfId="1" applyNumberFormat="1" applyFont="1" applyBorder="1"/>
    <xf numFmtId="165" fontId="7" fillId="0" borderId="2" xfId="1" applyNumberFormat="1" applyFont="1" applyBorder="1"/>
    <xf numFmtId="1" fontId="0" fillId="0" borderId="0" xfId="0" applyNumberFormat="1" applyAlignment="1">
      <alignment horizontal="right" indent="1"/>
    </xf>
    <xf numFmtId="1" fontId="0" fillId="0" borderId="0" xfId="0" applyNumberFormat="1" applyAlignment="1">
      <alignment horizontal="right"/>
    </xf>
    <xf numFmtId="165" fontId="17" fillId="0" borderId="0" xfId="0" applyNumberFormat="1" applyFont="1"/>
    <xf numFmtId="167" fontId="17" fillId="0" borderId="0" xfId="0" applyNumberFormat="1" applyFont="1"/>
    <xf numFmtId="9" fontId="17" fillId="0" borderId="2" xfId="1" applyFont="1" applyBorder="1"/>
    <xf numFmtId="165" fontId="4" fillId="0" borderId="1" xfId="0" applyNumberFormat="1" applyFont="1" applyBorder="1"/>
    <xf numFmtId="9" fontId="4" fillId="0" borderId="3" xfId="1" applyFont="1" applyBorder="1"/>
    <xf numFmtId="165" fontId="17" fillId="0" borderId="1" xfId="0" applyNumberFormat="1" applyFont="1" applyBorder="1"/>
    <xf numFmtId="165" fontId="17" fillId="0" borderId="3" xfId="1" applyNumberFormat="1" applyFont="1" applyBorder="1"/>
    <xf numFmtId="169" fontId="0" fillId="0" borderId="0" xfId="0" applyNumberFormat="1" applyAlignment="1">
      <alignment horizontal="left"/>
    </xf>
    <xf numFmtId="1" fontId="3" fillId="0" borderId="0" xfId="0" applyNumberFormat="1" applyFont="1"/>
    <xf numFmtId="0" fontId="0" fillId="0" borderId="1" xfId="0" applyBorder="1"/>
    <xf numFmtId="0" fontId="18" fillId="0" borderId="0" xfId="0" applyFont="1"/>
    <xf numFmtId="0" fontId="19" fillId="0" borderId="0" xfId="0" applyFont="1"/>
    <xf numFmtId="165" fontId="19" fillId="0" borderId="0" xfId="0" applyNumberFormat="1" applyFont="1"/>
    <xf numFmtId="0" fontId="19" fillId="0" borderId="0" xfId="0" applyFont="1" applyAlignment="1">
      <alignment horizontal="right"/>
    </xf>
    <xf numFmtId="164" fontId="0" fillId="0" borderId="0" xfId="0" applyNumberFormat="1" applyAlignment="1">
      <alignment horizontal="right"/>
    </xf>
    <xf numFmtId="15" fontId="4" fillId="0" borderId="0" xfId="0" applyNumberFormat="1" applyFont="1"/>
    <xf numFmtId="0" fontId="5" fillId="0" borderId="0" xfId="0" applyFont="1" applyAlignment="1">
      <alignment horizontal="center"/>
    </xf>
    <xf numFmtId="0" fontId="20" fillId="0" borderId="0" xfId="0" applyFont="1" applyAlignment="1">
      <alignment horizontal="center"/>
    </xf>
    <xf numFmtId="0" fontId="21" fillId="0" borderId="0" xfId="0" applyFont="1"/>
    <xf numFmtId="1" fontId="21" fillId="0" borderId="0" xfId="0" applyNumberFormat="1" applyFont="1"/>
    <xf numFmtId="165" fontId="8" fillId="0" borderId="4" xfId="0" applyNumberFormat="1" applyFont="1" applyBorder="1"/>
    <xf numFmtId="165" fontId="4" fillId="0" borderId="4" xfId="0" applyNumberFormat="1" applyFont="1" applyBorder="1"/>
    <xf numFmtId="165" fontId="17" fillId="0" borderId="4" xfId="0" applyNumberFormat="1" applyFont="1" applyBorder="1"/>
    <xf numFmtId="165" fontId="4" fillId="0" borderId="5" xfId="0" applyNumberFormat="1" applyFont="1" applyBorder="1"/>
    <xf numFmtId="165" fontId="17" fillId="0" borderId="5" xfId="0" applyNumberFormat="1" applyFont="1" applyBorder="1"/>
    <xf numFmtId="165" fontId="6" fillId="0" borderId="4" xfId="0" applyNumberFormat="1" applyFont="1" applyBorder="1"/>
    <xf numFmtId="165" fontId="16" fillId="0" borderId="4" xfId="0" applyNumberFormat="1" applyFont="1" applyBorder="1"/>
    <xf numFmtId="0" fontId="0" fillId="0" borderId="0" xfId="0" applyAlignment="1">
      <alignment horizontal="center"/>
    </xf>
    <xf numFmtId="165" fontId="2" fillId="0" borderId="0" xfId="0" applyNumberFormat="1" applyFont="1" applyAlignment="1">
      <alignment horizontal="center"/>
    </xf>
    <xf numFmtId="0" fontId="3" fillId="0" borderId="0" xfId="0" applyFont="1" applyAlignment="1">
      <alignment horizontal="center"/>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microsoft.com/office/2017/10/relationships/person" Target="persons/person5.xml"/><Relationship Id="rId26" Type="http://schemas.microsoft.com/office/2017/10/relationships/person" Target="persons/person13.xml"/><Relationship Id="rId39" Type="http://schemas.microsoft.com/office/2017/10/relationships/person" Target="persons/person25.xml"/><Relationship Id="rId21" Type="http://schemas.microsoft.com/office/2017/10/relationships/person" Target="persons/person8.xml"/><Relationship Id="rId34" Type="http://schemas.microsoft.com/office/2017/10/relationships/person" Target="persons/person21.xml"/><Relationship Id="rId42" Type="http://schemas.microsoft.com/office/2017/10/relationships/person" Target="persons/person1.xml"/><Relationship Id="rId47" Type="http://schemas.microsoft.com/office/2017/10/relationships/person" Target="persons/person31.xml"/><Relationship Id="rId50" Type="http://schemas.microsoft.com/office/2017/10/relationships/person" Target="persons/person34.xml"/><Relationship Id="rId55" Type="http://schemas.microsoft.com/office/2017/10/relationships/person" Target="persons/person40.xml"/><Relationship Id="rId63" Type="http://schemas.microsoft.com/office/2017/10/relationships/person" Target="persons/person48.xml"/><Relationship Id="rId68" Type="http://schemas.microsoft.com/office/2017/10/relationships/person" Target="persons/person51.xml"/><Relationship Id="rId76" Type="http://schemas.microsoft.com/office/2017/10/relationships/person" Target="persons/person59.xml"/><Relationship Id="rId84" Type="http://schemas.microsoft.com/office/2017/10/relationships/person" Target="persons/person42.xml"/><Relationship Id="rId7" Type="http://schemas.openxmlformats.org/officeDocument/2006/relationships/styles" Target="styles.xml"/><Relationship Id="rId71" Type="http://schemas.microsoft.com/office/2017/10/relationships/person" Target="persons/person54.xml"/><Relationship Id="rId2" Type="http://schemas.openxmlformats.org/officeDocument/2006/relationships/worksheet" Target="worksheets/sheet2.xml"/><Relationship Id="rId29" Type="http://schemas.microsoft.com/office/2017/10/relationships/person" Target="persons/person16.xml"/><Relationship Id="rId40" Type="http://schemas.microsoft.com/office/2017/10/relationships/person" Target="persons/person27.xml"/><Relationship Id="rId24" Type="http://schemas.microsoft.com/office/2017/10/relationships/person" Target="persons/person11.xml"/><Relationship Id="rId32" Type="http://schemas.microsoft.com/office/2017/10/relationships/person" Target="persons/person18.xml"/><Relationship Id="rId37" Type="http://schemas.microsoft.com/office/2017/10/relationships/person" Target="persons/person2.xml"/><Relationship Id="rId45" Type="http://schemas.microsoft.com/office/2017/10/relationships/person" Target="persons/person29.xml"/><Relationship Id="rId53" Type="http://schemas.microsoft.com/office/2017/10/relationships/person" Target="persons/person37.xml"/><Relationship Id="rId58" Type="http://schemas.microsoft.com/office/2017/10/relationships/person" Target="persons/person41.xml"/><Relationship Id="rId66" Type="http://schemas.microsoft.com/office/2017/10/relationships/person" Target="persons/person50.xml"/><Relationship Id="rId74" Type="http://schemas.microsoft.com/office/2017/10/relationships/person" Target="persons/person58.xml"/><Relationship Id="rId79" Type="http://schemas.microsoft.com/office/2017/10/relationships/person" Target="persons/person63.xml"/><Relationship Id="rId5" Type="http://schemas.openxmlformats.org/officeDocument/2006/relationships/worksheet" Target="worksheets/sheet5.xml"/><Relationship Id="rId61" Type="http://schemas.microsoft.com/office/2017/10/relationships/person" Target="persons/person45.xml"/><Relationship Id="rId82" Type="http://schemas.microsoft.com/office/2017/10/relationships/person" Target="persons/person66.xml"/><Relationship Id="rId57" Type="http://schemas.microsoft.com/office/2017/10/relationships/person" Target="persons/person0.xml"/><Relationship Id="rId23" Type="http://schemas.microsoft.com/office/2017/10/relationships/person" Target="persons/person9.xml"/><Relationship Id="rId28" Type="http://schemas.microsoft.com/office/2017/10/relationships/person" Target="persons/person14.xml"/><Relationship Id="rId36" Type="http://schemas.microsoft.com/office/2017/10/relationships/person" Target="persons/person22.xml"/><Relationship Id="rId49" Type="http://schemas.microsoft.com/office/2017/10/relationships/person" Target="persons/person33.xml"/><Relationship Id="rId10" Type="http://schemas.openxmlformats.org/officeDocument/2006/relationships/customXml" Target="../customXml/item1.xml"/><Relationship Id="rId60" Type="http://schemas.microsoft.com/office/2017/10/relationships/person" Target="persons/person47.xml"/><Relationship Id="rId19" Type="http://schemas.microsoft.com/office/2017/10/relationships/person" Target="persons/person7.xml"/><Relationship Id="rId31" Type="http://schemas.microsoft.com/office/2017/10/relationships/person" Target="persons/person17.xml"/><Relationship Id="rId44" Type="http://schemas.microsoft.com/office/2017/10/relationships/person" Target="persons/person28.xml"/><Relationship Id="rId52" Type="http://schemas.microsoft.com/office/2017/10/relationships/person" Target="persons/person36.xml"/><Relationship Id="rId65" Type="http://schemas.microsoft.com/office/2017/10/relationships/person" Target="persons/person49.xml"/><Relationship Id="rId73" Type="http://schemas.microsoft.com/office/2017/10/relationships/person" Target="persons/person57.xml"/><Relationship Id="rId78" Type="http://schemas.microsoft.com/office/2017/10/relationships/person" Target="persons/person62.xml"/><Relationship Id="rId81" Type="http://schemas.microsoft.com/office/2017/10/relationships/person" Target="persons/person64.xml"/><Relationship Id="rId4" Type="http://schemas.openxmlformats.org/officeDocument/2006/relationships/worksheet" Target="worksheets/sheet4.xml"/><Relationship Id="rId9" Type="http://schemas.openxmlformats.org/officeDocument/2006/relationships/calcChain" Target="calcChain.xml"/><Relationship Id="rId77" Type="http://schemas.microsoft.com/office/2017/10/relationships/person" Target="persons/person3.xml"/><Relationship Id="rId69" Type="http://schemas.microsoft.com/office/2017/10/relationships/person" Target="persons/person56.xml"/><Relationship Id="rId64" Type="http://schemas.microsoft.com/office/2017/10/relationships/person" Target="persons/person53.xml"/><Relationship Id="rId56" Type="http://schemas.microsoft.com/office/2017/10/relationships/person" Target="persons/person44.xml"/><Relationship Id="rId48" Type="http://schemas.microsoft.com/office/2017/10/relationships/person" Target="persons/person35.xml"/><Relationship Id="rId43" Type="http://schemas.microsoft.com/office/2017/10/relationships/person" Target="persons/person32.xml"/><Relationship Id="rId35" Type="http://schemas.microsoft.com/office/2017/10/relationships/person" Target="persons/person24.xml"/><Relationship Id="rId30" Type="http://schemas.microsoft.com/office/2017/10/relationships/person" Target="persons/person19.xml"/><Relationship Id="rId27" Type="http://schemas.microsoft.com/office/2017/10/relationships/person" Target="persons/person15.xml"/><Relationship Id="rId22" Type="http://schemas.microsoft.com/office/2017/10/relationships/person" Target="persons/person10.xml"/><Relationship Id="rId8" Type="http://schemas.openxmlformats.org/officeDocument/2006/relationships/sharedStrings" Target="sharedStrings.xml"/><Relationship Id="rId80" Type="http://schemas.microsoft.com/office/2017/10/relationships/person" Target="persons/person65.xml"/><Relationship Id="rId72" Type="http://schemas.microsoft.com/office/2017/10/relationships/person" Target="persons/person61.xml"/><Relationship Id="rId51" Type="http://schemas.microsoft.com/office/2017/10/relationships/person" Target="persons/person39.xml"/><Relationship Id="rId3" Type="http://schemas.openxmlformats.org/officeDocument/2006/relationships/worksheet" Target="worksheets/sheet3.xml"/><Relationship Id="rId67" Type="http://schemas.microsoft.com/office/2017/10/relationships/person" Target="persons/person52.xml"/><Relationship Id="rId17" Type="http://schemas.microsoft.com/office/2017/10/relationships/person" Target="persons/person4.xml"/><Relationship Id="rId25" Type="http://schemas.microsoft.com/office/2017/10/relationships/person" Target="persons/person12.xml"/><Relationship Id="rId33" Type="http://schemas.microsoft.com/office/2017/10/relationships/person" Target="persons/person20.xml"/><Relationship Id="rId38" Type="http://schemas.microsoft.com/office/2017/10/relationships/person" Target="persons/person23.xml"/><Relationship Id="rId46" Type="http://schemas.microsoft.com/office/2017/10/relationships/person" Target="persons/person30.xml"/><Relationship Id="rId59" Type="http://schemas.microsoft.com/office/2017/10/relationships/person" Target="persons/person43.xml"/><Relationship Id="rId83" Type="http://schemas.microsoft.com/office/2017/10/relationships/person" Target="persons/person.xml"/><Relationship Id="rId75" Type="http://schemas.microsoft.com/office/2017/10/relationships/person" Target="persons/person60.xml"/><Relationship Id="rId70" Type="http://schemas.microsoft.com/office/2017/10/relationships/person" Target="persons/person55.xml"/><Relationship Id="rId20" Type="http://schemas.microsoft.com/office/2017/10/relationships/person" Target="persons/person6.xml"/><Relationship Id="rId41" Type="http://schemas.microsoft.com/office/2017/10/relationships/person" Target="persons/person26.xml"/><Relationship Id="rId54" Type="http://schemas.microsoft.com/office/2017/10/relationships/person" Target="persons/person38.xml"/><Relationship Id="rId62" Type="http://schemas.microsoft.com/office/2017/10/relationships/person" Target="persons/person46.xml"/><Relationship Id="rId1" Type="http://schemas.openxmlformats.org/officeDocument/2006/relationships/worksheet" Target="worksheets/sheet1.xml"/><Relationship Id="rId6"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10.xml><?xml version="1.0" encoding="utf-8"?>
<personList xmlns="http://schemas.microsoft.com/office/spreadsheetml/2018/threadedcomments" xmlns:x="http://schemas.openxmlformats.org/spreadsheetml/2006/main"/>
</file>

<file path=xl/persons/person11.xml><?xml version="1.0" encoding="utf-8"?>
<personList xmlns="http://schemas.microsoft.com/office/spreadsheetml/2018/threadedcomments" xmlns:x="http://schemas.openxmlformats.org/spreadsheetml/2006/main"/>
</file>

<file path=xl/persons/person12.xml><?xml version="1.0" encoding="utf-8"?>
<personList xmlns="http://schemas.microsoft.com/office/spreadsheetml/2018/threadedcomments" xmlns:x="http://schemas.openxmlformats.org/spreadsheetml/2006/main"/>
</file>

<file path=xl/persons/person13.xml><?xml version="1.0" encoding="utf-8"?>
<personList xmlns="http://schemas.microsoft.com/office/spreadsheetml/2018/threadedcomments" xmlns:x="http://schemas.openxmlformats.org/spreadsheetml/2006/main"/>
</file>

<file path=xl/persons/person14.xml><?xml version="1.0" encoding="utf-8"?>
<personList xmlns="http://schemas.microsoft.com/office/spreadsheetml/2018/threadedcomments" xmlns:x="http://schemas.openxmlformats.org/spreadsheetml/2006/main"/>
</file>

<file path=xl/persons/person15.xml><?xml version="1.0" encoding="utf-8"?>
<personList xmlns="http://schemas.microsoft.com/office/spreadsheetml/2018/threadedcomments" xmlns:x="http://schemas.openxmlformats.org/spreadsheetml/2006/main"/>
</file>

<file path=xl/persons/person16.xml><?xml version="1.0" encoding="utf-8"?>
<personList xmlns="http://schemas.microsoft.com/office/spreadsheetml/2018/threadedcomments" xmlns:x="http://schemas.openxmlformats.org/spreadsheetml/2006/main"/>
</file>

<file path=xl/persons/person17.xml><?xml version="1.0" encoding="utf-8"?>
<personList xmlns="http://schemas.microsoft.com/office/spreadsheetml/2018/threadedcomments" xmlns:x="http://schemas.openxmlformats.org/spreadsheetml/2006/main"/>
</file>

<file path=xl/persons/person18.xml><?xml version="1.0" encoding="utf-8"?>
<personList xmlns="http://schemas.microsoft.com/office/spreadsheetml/2018/threadedcomments" xmlns:x="http://schemas.openxmlformats.org/spreadsheetml/2006/main"/>
</file>

<file path=xl/persons/person19.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20.xml><?xml version="1.0" encoding="utf-8"?>
<personList xmlns="http://schemas.microsoft.com/office/spreadsheetml/2018/threadedcomments" xmlns:x="http://schemas.openxmlformats.org/spreadsheetml/2006/main"/>
</file>

<file path=xl/persons/person21.xml><?xml version="1.0" encoding="utf-8"?>
<personList xmlns="http://schemas.microsoft.com/office/spreadsheetml/2018/threadedcomments" xmlns:x="http://schemas.openxmlformats.org/spreadsheetml/2006/main"/>
</file>

<file path=xl/persons/person22.xml><?xml version="1.0" encoding="utf-8"?>
<personList xmlns="http://schemas.microsoft.com/office/spreadsheetml/2018/threadedcomments" xmlns:x="http://schemas.openxmlformats.org/spreadsheetml/2006/main"/>
</file>

<file path=xl/persons/person23.xml><?xml version="1.0" encoding="utf-8"?>
<personList xmlns="http://schemas.microsoft.com/office/spreadsheetml/2018/threadedcomments" xmlns:x="http://schemas.openxmlformats.org/spreadsheetml/2006/main"/>
</file>

<file path=xl/persons/person24.xml><?xml version="1.0" encoding="utf-8"?>
<personList xmlns="http://schemas.microsoft.com/office/spreadsheetml/2018/threadedcomments" xmlns:x="http://schemas.openxmlformats.org/spreadsheetml/2006/main"/>
</file>

<file path=xl/persons/person25.xml><?xml version="1.0" encoding="utf-8"?>
<personList xmlns="http://schemas.microsoft.com/office/spreadsheetml/2018/threadedcomments" xmlns:x="http://schemas.openxmlformats.org/spreadsheetml/2006/main"/>
</file>

<file path=xl/persons/person26.xml><?xml version="1.0" encoding="utf-8"?>
<personList xmlns="http://schemas.microsoft.com/office/spreadsheetml/2018/threadedcomments" xmlns:x="http://schemas.openxmlformats.org/spreadsheetml/2006/main"/>
</file>

<file path=xl/persons/person27.xml><?xml version="1.0" encoding="utf-8"?>
<personList xmlns="http://schemas.microsoft.com/office/spreadsheetml/2018/threadedcomments" xmlns:x="http://schemas.openxmlformats.org/spreadsheetml/2006/main"/>
</file>

<file path=xl/persons/person28.xml><?xml version="1.0" encoding="utf-8"?>
<personList xmlns="http://schemas.microsoft.com/office/spreadsheetml/2018/threadedcomments" xmlns:x="http://schemas.openxmlformats.org/spreadsheetml/2006/main"/>
</file>

<file path=xl/persons/person29.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30.xml><?xml version="1.0" encoding="utf-8"?>
<personList xmlns="http://schemas.microsoft.com/office/spreadsheetml/2018/threadedcomments" xmlns:x="http://schemas.openxmlformats.org/spreadsheetml/2006/main"/>
</file>

<file path=xl/persons/person31.xml><?xml version="1.0" encoding="utf-8"?>
<personList xmlns="http://schemas.microsoft.com/office/spreadsheetml/2018/threadedcomments" xmlns:x="http://schemas.openxmlformats.org/spreadsheetml/2006/main"/>
</file>

<file path=xl/persons/person32.xml><?xml version="1.0" encoding="utf-8"?>
<personList xmlns="http://schemas.microsoft.com/office/spreadsheetml/2018/threadedcomments" xmlns:x="http://schemas.openxmlformats.org/spreadsheetml/2006/main"/>
</file>

<file path=xl/persons/person33.xml><?xml version="1.0" encoding="utf-8"?>
<personList xmlns="http://schemas.microsoft.com/office/spreadsheetml/2018/threadedcomments" xmlns:x="http://schemas.openxmlformats.org/spreadsheetml/2006/main"/>
</file>

<file path=xl/persons/person34.xml><?xml version="1.0" encoding="utf-8"?>
<personList xmlns="http://schemas.microsoft.com/office/spreadsheetml/2018/threadedcomments" xmlns:x="http://schemas.openxmlformats.org/spreadsheetml/2006/main"/>
</file>

<file path=xl/persons/person35.xml><?xml version="1.0" encoding="utf-8"?>
<personList xmlns="http://schemas.microsoft.com/office/spreadsheetml/2018/threadedcomments" xmlns:x="http://schemas.openxmlformats.org/spreadsheetml/2006/main"/>
</file>

<file path=xl/persons/person36.xml><?xml version="1.0" encoding="utf-8"?>
<personList xmlns="http://schemas.microsoft.com/office/spreadsheetml/2018/threadedcomments" xmlns:x="http://schemas.openxmlformats.org/spreadsheetml/2006/main"/>
</file>

<file path=xl/persons/person37.xml><?xml version="1.0" encoding="utf-8"?>
<personList xmlns="http://schemas.microsoft.com/office/spreadsheetml/2018/threadedcomments" xmlns:x="http://schemas.openxmlformats.org/spreadsheetml/2006/main"/>
</file>

<file path=xl/persons/person38.xml><?xml version="1.0" encoding="utf-8"?>
<personList xmlns="http://schemas.microsoft.com/office/spreadsheetml/2018/threadedcomments" xmlns:x="http://schemas.openxmlformats.org/spreadsheetml/2006/main"/>
</file>

<file path=xl/persons/person39.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persons/person40.xml><?xml version="1.0" encoding="utf-8"?>
<personList xmlns="http://schemas.microsoft.com/office/spreadsheetml/2018/threadedcomments" xmlns:x="http://schemas.openxmlformats.org/spreadsheetml/2006/main"/>
</file>

<file path=xl/persons/person41.xml><?xml version="1.0" encoding="utf-8"?>
<personList xmlns="http://schemas.microsoft.com/office/spreadsheetml/2018/threadedcomments" xmlns:x="http://schemas.openxmlformats.org/spreadsheetml/2006/main"/>
</file>

<file path=xl/persons/person42.xml><?xml version="1.0" encoding="utf-8"?>
<personList xmlns="http://schemas.microsoft.com/office/spreadsheetml/2018/threadedcomments" xmlns:x="http://schemas.openxmlformats.org/spreadsheetml/2006/main"/>
</file>

<file path=xl/persons/person43.xml><?xml version="1.0" encoding="utf-8"?>
<personList xmlns="http://schemas.microsoft.com/office/spreadsheetml/2018/threadedcomments" xmlns:x="http://schemas.openxmlformats.org/spreadsheetml/2006/main"/>
</file>

<file path=xl/persons/person44.xml><?xml version="1.0" encoding="utf-8"?>
<personList xmlns="http://schemas.microsoft.com/office/spreadsheetml/2018/threadedcomments" xmlns:x="http://schemas.openxmlformats.org/spreadsheetml/2006/main"/>
</file>

<file path=xl/persons/person45.xml><?xml version="1.0" encoding="utf-8"?>
<personList xmlns="http://schemas.microsoft.com/office/spreadsheetml/2018/threadedcomments" xmlns:x="http://schemas.openxmlformats.org/spreadsheetml/2006/main"/>
</file>

<file path=xl/persons/person46.xml><?xml version="1.0" encoding="utf-8"?>
<personList xmlns="http://schemas.microsoft.com/office/spreadsheetml/2018/threadedcomments" xmlns:x="http://schemas.openxmlformats.org/spreadsheetml/2006/main"/>
</file>

<file path=xl/persons/person47.xml><?xml version="1.0" encoding="utf-8"?>
<personList xmlns="http://schemas.microsoft.com/office/spreadsheetml/2018/threadedcomments" xmlns:x="http://schemas.openxmlformats.org/spreadsheetml/2006/main"/>
</file>

<file path=xl/persons/person48.xml><?xml version="1.0" encoding="utf-8"?>
<personList xmlns="http://schemas.microsoft.com/office/spreadsheetml/2018/threadedcomments" xmlns:x="http://schemas.openxmlformats.org/spreadsheetml/2006/main"/>
</file>

<file path=xl/persons/person49.xml><?xml version="1.0" encoding="utf-8"?>
<personList xmlns="http://schemas.microsoft.com/office/spreadsheetml/2018/threadedcomments" xmlns:x="http://schemas.openxmlformats.org/spreadsheetml/2006/main"/>
</file>

<file path=xl/persons/person5.xml><?xml version="1.0" encoding="utf-8"?>
<personList xmlns="http://schemas.microsoft.com/office/spreadsheetml/2018/threadedcomments" xmlns:x="http://schemas.openxmlformats.org/spreadsheetml/2006/main"/>
</file>

<file path=xl/persons/person50.xml><?xml version="1.0" encoding="utf-8"?>
<personList xmlns="http://schemas.microsoft.com/office/spreadsheetml/2018/threadedcomments" xmlns:x="http://schemas.openxmlformats.org/spreadsheetml/2006/main"/>
</file>

<file path=xl/persons/person51.xml><?xml version="1.0" encoding="utf-8"?>
<personList xmlns="http://schemas.microsoft.com/office/spreadsheetml/2018/threadedcomments" xmlns:x="http://schemas.openxmlformats.org/spreadsheetml/2006/main"/>
</file>

<file path=xl/persons/person52.xml><?xml version="1.0" encoding="utf-8"?>
<personList xmlns="http://schemas.microsoft.com/office/spreadsheetml/2018/threadedcomments" xmlns:x="http://schemas.openxmlformats.org/spreadsheetml/2006/main"/>
</file>

<file path=xl/persons/person53.xml><?xml version="1.0" encoding="utf-8"?>
<personList xmlns="http://schemas.microsoft.com/office/spreadsheetml/2018/threadedcomments" xmlns:x="http://schemas.openxmlformats.org/spreadsheetml/2006/main"/>
</file>

<file path=xl/persons/person54.xml><?xml version="1.0" encoding="utf-8"?>
<personList xmlns="http://schemas.microsoft.com/office/spreadsheetml/2018/threadedcomments" xmlns:x="http://schemas.openxmlformats.org/spreadsheetml/2006/main"/>
</file>

<file path=xl/persons/person55.xml><?xml version="1.0" encoding="utf-8"?>
<personList xmlns="http://schemas.microsoft.com/office/spreadsheetml/2018/threadedcomments" xmlns:x="http://schemas.openxmlformats.org/spreadsheetml/2006/main"/>
</file>

<file path=xl/persons/person56.xml><?xml version="1.0" encoding="utf-8"?>
<personList xmlns="http://schemas.microsoft.com/office/spreadsheetml/2018/threadedcomments" xmlns:x="http://schemas.openxmlformats.org/spreadsheetml/2006/main"/>
</file>

<file path=xl/persons/person57.xml><?xml version="1.0" encoding="utf-8"?>
<personList xmlns="http://schemas.microsoft.com/office/spreadsheetml/2018/threadedcomments" xmlns:x="http://schemas.openxmlformats.org/spreadsheetml/2006/main"/>
</file>

<file path=xl/persons/person58.xml><?xml version="1.0" encoding="utf-8"?>
<personList xmlns="http://schemas.microsoft.com/office/spreadsheetml/2018/threadedcomments" xmlns:x="http://schemas.openxmlformats.org/spreadsheetml/2006/main"/>
</file>

<file path=xl/persons/person59.xml><?xml version="1.0" encoding="utf-8"?>
<personList xmlns="http://schemas.microsoft.com/office/spreadsheetml/2018/threadedcomments" xmlns:x="http://schemas.openxmlformats.org/spreadsheetml/2006/main"/>
</file>

<file path=xl/persons/person6.xml><?xml version="1.0" encoding="utf-8"?>
<personList xmlns="http://schemas.microsoft.com/office/spreadsheetml/2018/threadedcomments" xmlns:x="http://schemas.openxmlformats.org/spreadsheetml/2006/main"/>
</file>

<file path=xl/persons/person60.xml><?xml version="1.0" encoding="utf-8"?>
<personList xmlns="http://schemas.microsoft.com/office/spreadsheetml/2018/threadedcomments" xmlns:x="http://schemas.openxmlformats.org/spreadsheetml/2006/main"/>
</file>

<file path=xl/persons/person61.xml><?xml version="1.0" encoding="utf-8"?>
<personList xmlns="http://schemas.microsoft.com/office/spreadsheetml/2018/threadedcomments" xmlns:x="http://schemas.openxmlformats.org/spreadsheetml/2006/main"/>
</file>

<file path=xl/persons/person62.xml><?xml version="1.0" encoding="utf-8"?>
<personList xmlns="http://schemas.microsoft.com/office/spreadsheetml/2018/threadedcomments" xmlns:x="http://schemas.openxmlformats.org/spreadsheetml/2006/main"/>
</file>

<file path=xl/persons/person63.xml><?xml version="1.0" encoding="utf-8"?>
<personList xmlns="http://schemas.microsoft.com/office/spreadsheetml/2018/threadedcomments" xmlns:x="http://schemas.openxmlformats.org/spreadsheetml/2006/main"/>
</file>

<file path=xl/persons/person64.xml><?xml version="1.0" encoding="utf-8"?>
<personList xmlns="http://schemas.microsoft.com/office/spreadsheetml/2018/threadedcomments" xmlns:x="http://schemas.openxmlformats.org/spreadsheetml/2006/main"/>
</file>

<file path=xl/persons/person65.xml><?xml version="1.0" encoding="utf-8"?>
<personList xmlns="http://schemas.microsoft.com/office/spreadsheetml/2018/threadedcomments" xmlns:x="http://schemas.openxmlformats.org/spreadsheetml/2006/main"/>
</file>

<file path=xl/persons/person66.xml><?xml version="1.0" encoding="utf-8"?>
<personList xmlns="http://schemas.microsoft.com/office/spreadsheetml/2018/threadedcomments" xmlns:x="http://schemas.openxmlformats.org/spreadsheetml/2006/main"/>
</file>

<file path=xl/persons/person7.xml><?xml version="1.0" encoding="utf-8"?>
<personList xmlns="http://schemas.microsoft.com/office/spreadsheetml/2018/threadedcomments" xmlns:x="http://schemas.openxmlformats.org/spreadsheetml/2006/main"/>
</file>

<file path=xl/persons/person8.xml><?xml version="1.0" encoding="utf-8"?>
<personList xmlns="http://schemas.microsoft.com/office/spreadsheetml/2018/threadedcomments" xmlns:x="http://schemas.openxmlformats.org/spreadsheetml/2006/main"/>
</file>

<file path=xl/persons/person9.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3E554-0947-41D9-AEB0-9C37F729AB8B}">
  <dimension ref="A2:Y608"/>
  <sheetViews>
    <sheetView topLeftCell="A445" workbookViewId="0">
      <selection activeCell="D465" sqref="D465"/>
    </sheetView>
  </sheetViews>
  <sheetFormatPr defaultRowHeight="15" x14ac:dyDescent="0.25"/>
  <cols>
    <col min="1" max="1" width="4.42578125" style="30" customWidth="1"/>
    <col min="2" max="2" width="10.42578125" customWidth="1"/>
    <col min="3" max="3" width="10.7109375" style="2" customWidth="1"/>
    <col min="4" max="4" width="33" customWidth="1"/>
    <col min="5" max="5" width="9.7109375" customWidth="1"/>
    <col min="6" max="6" width="10.28515625" customWidth="1"/>
    <col min="10" max="10" width="9.85546875" bestFit="1" customWidth="1"/>
    <col min="11" max="11" width="25.7109375" customWidth="1"/>
    <col min="13" max="13" width="9.42578125" bestFit="1" customWidth="1"/>
    <col min="15" max="15" width="10.140625" bestFit="1" customWidth="1"/>
    <col min="17" max="17" width="11" bestFit="1" customWidth="1"/>
    <col min="18" max="18" width="23.85546875" customWidth="1"/>
    <col min="19" max="19" width="9.140625" style="1"/>
    <col min="21" max="22" width="10" bestFit="1" customWidth="1"/>
  </cols>
  <sheetData>
    <row r="2" spans="1:12" x14ac:dyDescent="0.25">
      <c r="A2" s="28"/>
      <c r="B2" s="3" t="s">
        <v>0</v>
      </c>
      <c r="C2" s="4" t="s">
        <v>1</v>
      </c>
      <c r="D2" s="5" t="s">
        <v>2</v>
      </c>
      <c r="E2" s="8" t="s">
        <v>3</v>
      </c>
      <c r="F2" s="6" t="s">
        <v>4</v>
      </c>
      <c r="G2" s="4" t="s">
        <v>5</v>
      </c>
      <c r="H2" s="5" t="s">
        <v>6</v>
      </c>
    </row>
    <row r="3" spans="1:12" x14ac:dyDescent="0.25">
      <c r="A3" s="27"/>
      <c r="B3" s="26"/>
      <c r="E3" s="1" t="s">
        <v>7</v>
      </c>
      <c r="F3" s="9">
        <v>10442.879999999999</v>
      </c>
    </row>
    <row r="4" spans="1:12" x14ac:dyDescent="0.25">
      <c r="A4" s="30">
        <v>23</v>
      </c>
      <c r="B4" s="26">
        <v>45261</v>
      </c>
      <c r="C4" s="2" t="s">
        <v>8</v>
      </c>
      <c r="D4" t="s">
        <v>142</v>
      </c>
      <c r="E4" s="1">
        <v>-27.24</v>
      </c>
      <c r="F4" s="1">
        <f t="shared" ref="F4:F35" si="0">F3+E4</f>
        <v>10415.64</v>
      </c>
      <c r="G4" t="s">
        <v>75</v>
      </c>
    </row>
    <row r="5" spans="1:12" x14ac:dyDescent="0.25">
      <c r="A5" s="30">
        <v>13</v>
      </c>
      <c r="B5" s="26">
        <v>45261</v>
      </c>
      <c r="C5" s="2" t="s">
        <v>8</v>
      </c>
      <c r="D5" t="s">
        <v>169</v>
      </c>
      <c r="E5" s="1">
        <v>-90.48</v>
      </c>
      <c r="F5" s="1">
        <f t="shared" si="0"/>
        <v>10325.16</v>
      </c>
      <c r="G5">
        <v>1</v>
      </c>
    </row>
    <row r="6" spans="1:12" x14ac:dyDescent="0.25">
      <c r="A6" s="30">
        <v>1</v>
      </c>
      <c r="B6" s="26">
        <v>45265</v>
      </c>
      <c r="C6" s="2" t="s">
        <v>83</v>
      </c>
      <c r="D6" t="s">
        <v>96</v>
      </c>
      <c r="E6" s="1">
        <v>55</v>
      </c>
      <c r="F6" s="1">
        <f t="shared" si="0"/>
        <v>10380.16</v>
      </c>
    </row>
    <row r="7" spans="1:12" x14ac:dyDescent="0.25">
      <c r="A7" s="30">
        <v>1</v>
      </c>
      <c r="B7" s="26">
        <v>45265</v>
      </c>
      <c r="C7" s="2" t="s">
        <v>83</v>
      </c>
      <c r="D7" t="s">
        <v>95</v>
      </c>
      <c r="E7" s="1">
        <v>90</v>
      </c>
      <c r="F7" s="1">
        <f t="shared" si="0"/>
        <v>10470.16</v>
      </c>
    </row>
    <row r="8" spans="1:12" x14ac:dyDescent="0.25">
      <c r="A8" s="30">
        <v>1</v>
      </c>
      <c r="B8" s="26">
        <v>45266</v>
      </c>
      <c r="C8" s="2" t="s">
        <v>83</v>
      </c>
      <c r="D8" t="s">
        <v>86</v>
      </c>
      <c r="E8" s="1">
        <v>175</v>
      </c>
      <c r="F8" s="1">
        <f t="shared" si="0"/>
        <v>10645.16</v>
      </c>
    </row>
    <row r="9" spans="1:12" x14ac:dyDescent="0.25">
      <c r="A9" s="30">
        <v>13</v>
      </c>
      <c r="B9" s="26">
        <v>45266</v>
      </c>
      <c r="C9" s="2" t="s">
        <v>8</v>
      </c>
      <c r="D9" t="s">
        <v>169</v>
      </c>
      <c r="E9" s="1">
        <v>-277.8</v>
      </c>
      <c r="F9" s="1">
        <f t="shared" si="0"/>
        <v>10367.36</v>
      </c>
      <c r="G9">
        <v>2</v>
      </c>
    </row>
    <row r="10" spans="1:12" x14ac:dyDescent="0.25">
      <c r="A10" s="30">
        <v>24</v>
      </c>
      <c r="B10" s="26">
        <v>45267</v>
      </c>
      <c r="C10" s="2" t="s">
        <v>82</v>
      </c>
      <c r="D10" t="s">
        <v>143</v>
      </c>
      <c r="E10" s="1">
        <v>-297</v>
      </c>
      <c r="F10" s="1">
        <f t="shared" si="0"/>
        <v>10070.36</v>
      </c>
      <c r="G10">
        <v>3</v>
      </c>
    </row>
    <row r="11" spans="1:12" x14ac:dyDescent="0.25">
      <c r="A11" s="30">
        <v>20</v>
      </c>
      <c r="B11" s="26">
        <v>45267</v>
      </c>
      <c r="C11" s="2" t="s">
        <v>82</v>
      </c>
      <c r="D11" t="s">
        <v>99</v>
      </c>
      <c r="E11" s="1">
        <v>-128.88999999999999</v>
      </c>
      <c r="F11" s="1">
        <f t="shared" si="0"/>
        <v>9941.4700000000012</v>
      </c>
      <c r="K11" s="29" t="e">
        <f>SUMIF(#REF!,"B Baby Sensory",#REF!)</f>
        <v>#REF!</v>
      </c>
      <c r="L11" t="s">
        <v>104</v>
      </c>
    </row>
    <row r="12" spans="1:12" x14ac:dyDescent="0.25">
      <c r="A12" s="30">
        <v>14</v>
      </c>
      <c r="B12" s="26">
        <v>45267</v>
      </c>
      <c r="C12" s="2" t="s">
        <v>8</v>
      </c>
      <c r="D12" t="s">
        <v>108</v>
      </c>
      <c r="E12" s="1">
        <v>-220.47</v>
      </c>
      <c r="F12" s="1">
        <f t="shared" si="0"/>
        <v>9721.0000000000018</v>
      </c>
      <c r="G12">
        <v>4</v>
      </c>
      <c r="K12" s="29" t="e">
        <f>SUMIF(#REF!,"Williams LA (Blossoms Pilate)",#REF!)</f>
        <v>#REF!</v>
      </c>
      <c r="L12" t="s">
        <v>423</v>
      </c>
    </row>
    <row r="13" spans="1:12" x14ac:dyDescent="0.25">
      <c r="A13" s="30">
        <v>1</v>
      </c>
      <c r="B13" s="26">
        <v>45271</v>
      </c>
      <c r="C13" s="2" t="s">
        <v>83</v>
      </c>
      <c r="D13" t="s">
        <v>104</v>
      </c>
      <c r="E13" s="1">
        <v>255</v>
      </c>
      <c r="F13" s="1">
        <f t="shared" si="0"/>
        <v>9976.0000000000018</v>
      </c>
      <c r="K13" s="29" t="e">
        <f>SUMIF(#REF!,"Davin, Amy (Dance Class)",#REF!)</f>
        <v>#REF!</v>
      </c>
      <c r="L13" t="s">
        <v>424</v>
      </c>
    </row>
    <row r="14" spans="1:12" x14ac:dyDescent="0.25">
      <c r="A14" s="30">
        <v>1</v>
      </c>
      <c r="B14" s="26">
        <v>45271</v>
      </c>
      <c r="C14" s="2" t="s">
        <v>83</v>
      </c>
      <c r="D14" t="s">
        <v>87</v>
      </c>
      <c r="E14" s="1">
        <v>105</v>
      </c>
      <c r="F14" s="1">
        <f t="shared" si="0"/>
        <v>10081.000000000002</v>
      </c>
      <c r="K14" s="29" t="e">
        <f>SUMIF(#REF!,"Pointon, AC&amp;CJ (Circle Dance)",#REF!)</f>
        <v>#REF!</v>
      </c>
      <c r="L14" t="s">
        <v>89</v>
      </c>
    </row>
    <row r="15" spans="1:12" x14ac:dyDescent="0.25">
      <c r="A15" s="30">
        <v>16</v>
      </c>
      <c r="B15" s="26">
        <v>45271</v>
      </c>
      <c r="C15" s="2" t="s">
        <v>83</v>
      </c>
      <c r="D15" t="s">
        <v>11</v>
      </c>
      <c r="E15" s="1">
        <v>-29.12</v>
      </c>
      <c r="F15" s="1">
        <f t="shared" si="0"/>
        <v>10051.880000000001</v>
      </c>
      <c r="G15" t="s">
        <v>75</v>
      </c>
    </row>
    <row r="16" spans="1:12" x14ac:dyDescent="0.25">
      <c r="A16" s="30">
        <v>1</v>
      </c>
      <c r="B16" s="26">
        <v>45273</v>
      </c>
      <c r="C16" s="2" t="s">
        <v>80</v>
      </c>
      <c r="D16" t="s">
        <v>92</v>
      </c>
      <c r="E16" s="1">
        <v>15</v>
      </c>
      <c r="F16" s="1">
        <f t="shared" si="0"/>
        <v>10066.880000000001</v>
      </c>
      <c r="K16" s="29" t="e">
        <f>SUMIF(#REF!,"B Baby Sensory",#REF!)</f>
        <v>#REF!</v>
      </c>
      <c r="L16" t="s">
        <v>104</v>
      </c>
    </row>
    <row r="17" spans="1:12" x14ac:dyDescent="0.25">
      <c r="A17" s="30">
        <v>1</v>
      </c>
      <c r="B17" s="26">
        <v>45278</v>
      </c>
      <c r="C17" s="2" t="s">
        <v>83</v>
      </c>
      <c r="D17" t="s">
        <v>89</v>
      </c>
      <c r="E17" s="1">
        <v>25</v>
      </c>
      <c r="F17" s="1">
        <f t="shared" si="0"/>
        <v>10091.880000000001</v>
      </c>
      <c r="K17" s="29" t="e">
        <f>SUMIF(#REF!,"Williams LA (Blossoms Pilate)",#REF!)</f>
        <v>#REF!</v>
      </c>
      <c r="L17" t="s">
        <v>423</v>
      </c>
    </row>
    <row r="18" spans="1:12" x14ac:dyDescent="0.25">
      <c r="A18" s="30">
        <v>1</v>
      </c>
      <c r="B18" s="26">
        <v>45278</v>
      </c>
      <c r="C18" s="2" t="s">
        <v>83</v>
      </c>
      <c r="D18" t="s">
        <v>89</v>
      </c>
      <c r="E18" s="1">
        <v>50</v>
      </c>
      <c r="F18" s="1">
        <f t="shared" si="0"/>
        <v>10141.880000000001</v>
      </c>
      <c r="K18" s="29" t="e">
        <f>SUMIF(#REF!,"Davin, Amy (Dance Class)",#REF!)</f>
        <v>#REF!</v>
      </c>
      <c r="L18" t="s">
        <v>424</v>
      </c>
    </row>
    <row r="19" spans="1:12" x14ac:dyDescent="0.25">
      <c r="A19" s="30">
        <v>1</v>
      </c>
      <c r="B19" s="26">
        <v>45278</v>
      </c>
      <c r="C19" s="2" t="s">
        <v>83</v>
      </c>
      <c r="D19" t="s">
        <v>144</v>
      </c>
      <c r="E19" s="1">
        <v>55</v>
      </c>
      <c r="F19" s="1">
        <f t="shared" si="0"/>
        <v>10196.880000000001</v>
      </c>
      <c r="H19" t="s">
        <v>400</v>
      </c>
      <c r="K19" s="29" t="e">
        <f>SUMIF(#REF!,"Pointon, AC&amp;CJ (Circle Dance)",#REF!)</f>
        <v>#REF!</v>
      </c>
      <c r="L19" t="s">
        <v>89</v>
      </c>
    </row>
    <row r="20" spans="1:12" x14ac:dyDescent="0.25">
      <c r="A20" s="30">
        <v>1</v>
      </c>
      <c r="B20" s="26">
        <v>45278</v>
      </c>
      <c r="C20" s="2" t="s">
        <v>83</v>
      </c>
      <c r="D20" t="s">
        <v>170</v>
      </c>
      <c r="E20" s="1">
        <v>45</v>
      </c>
      <c r="F20" s="1">
        <f t="shared" si="0"/>
        <v>10241.880000000001</v>
      </c>
      <c r="H20" t="s">
        <v>400</v>
      </c>
    </row>
    <row r="21" spans="1:12" x14ac:dyDescent="0.25">
      <c r="A21" s="30">
        <v>1</v>
      </c>
      <c r="B21" s="26">
        <v>45278</v>
      </c>
      <c r="C21" s="2" t="s">
        <v>80</v>
      </c>
      <c r="D21" t="s">
        <v>92</v>
      </c>
      <c r="E21" s="1">
        <v>15</v>
      </c>
      <c r="F21" s="1">
        <f t="shared" si="0"/>
        <v>10256.880000000001</v>
      </c>
    </row>
    <row r="22" spans="1:12" x14ac:dyDescent="0.25">
      <c r="A22" s="30">
        <v>19</v>
      </c>
      <c r="B22" s="26">
        <v>45278</v>
      </c>
      <c r="C22" s="2" t="s">
        <v>82</v>
      </c>
      <c r="D22" t="s">
        <v>145</v>
      </c>
      <c r="E22" s="1">
        <v>-47.21</v>
      </c>
      <c r="F22" s="1">
        <f t="shared" si="0"/>
        <v>10209.670000000002</v>
      </c>
      <c r="G22">
        <v>5</v>
      </c>
    </row>
    <row r="23" spans="1:12" x14ac:dyDescent="0.25">
      <c r="A23" s="30">
        <v>16</v>
      </c>
      <c r="B23" s="26">
        <v>45278</v>
      </c>
      <c r="C23" s="2" t="s">
        <v>82</v>
      </c>
      <c r="D23" t="s">
        <v>146</v>
      </c>
      <c r="E23" s="1">
        <v>-10.5</v>
      </c>
      <c r="F23" s="1">
        <f t="shared" si="0"/>
        <v>10199.170000000002</v>
      </c>
      <c r="G23">
        <v>6</v>
      </c>
    </row>
    <row r="24" spans="1:12" x14ac:dyDescent="0.25">
      <c r="A24" s="30">
        <v>23</v>
      </c>
      <c r="B24" s="26">
        <v>45278</v>
      </c>
      <c r="C24" s="2" t="s">
        <v>8</v>
      </c>
      <c r="D24" t="s">
        <v>74</v>
      </c>
      <c r="E24" s="1">
        <v>-37.799999999999997</v>
      </c>
      <c r="F24" s="1">
        <f t="shared" si="0"/>
        <v>10161.370000000003</v>
      </c>
      <c r="G24">
        <v>7</v>
      </c>
    </row>
    <row r="25" spans="1:12" x14ac:dyDescent="0.25">
      <c r="A25" s="30">
        <v>1</v>
      </c>
      <c r="B25" s="26">
        <v>45281</v>
      </c>
      <c r="C25" s="2" t="s">
        <v>83</v>
      </c>
      <c r="D25" t="s">
        <v>15</v>
      </c>
      <c r="E25" s="1">
        <v>275</v>
      </c>
      <c r="F25" s="1">
        <f t="shared" si="0"/>
        <v>10436.370000000003</v>
      </c>
    </row>
    <row r="26" spans="1:12" x14ac:dyDescent="0.25">
      <c r="A26" s="30">
        <v>15</v>
      </c>
      <c r="B26" s="26">
        <v>45285</v>
      </c>
      <c r="C26" s="2" t="s">
        <v>82</v>
      </c>
      <c r="D26" t="s">
        <v>151</v>
      </c>
      <c r="E26" s="1">
        <v>-612.5</v>
      </c>
      <c r="F26" s="1">
        <f t="shared" si="0"/>
        <v>9823.8700000000026</v>
      </c>
      <c r="G26">
        <v>8</v>
      </c>
    </row>
    <row r="27" spans="1:12" x14ac:dyDescent="0.25">
      <c r="A27" s="30">
        <v>1</v>
      </c>
      <c r="B27" s="26">
        <v>45287</v>
      </c>
      <c r="C27" s="2" t="s">
        <v>83</v>
      </c>
      <c r="D27" t="s">
        <v>117</v>
      </c>
      <c r="E27" s="1">
        <v>125</v>
      </c>
      <c r="F27" s="1">
        <f t="shared" si="0"/>
        <v>9948.8700000000026</v>
      </c>
    </row>
    <row r="28" spans="1:12" x14ac:dyDescent="0.25">
      <c r="A28" s="30">
        <v>10</v>
      </c>
      <c r="B28" s="26">
        <v>45287</v>
      </c>
      <c r="C28" s="2" t="s">
        <v>9</v>
      </c>
      <c r="D28" t="s">
        <v>10</v>
      </c>
      <c r="E28" s="1">
        <v>-12.5</v>
      </c>
      <c r="F28" s="1">
        <f t="shared" si="0"/>
        <v>9936.3700000000026</v>
      </c>
      <c r="G28" t="s">
        <v>75</v>
      </c>
      <c r="K28" t="s">
        <v>51</v>
      </c>
    </row>
    <row r="29" spans="1:12" x14ac:dyDescent="0.25">
      <c r="A29" s="30">
        <v>23</v>
      </c>
      <c r="B29" s="26">
        <v>45293</v>
      </c>
      <c r="C29" s="2" t="s">
        <v>8</v>
      </c>
      <c r="D29" t="s">
        <v>142</v>
      </c>
      <c r="E29" s="1">
        <v>-27.24</v>
      </c>
      <c r="F29" s="1">
        <f t="shared" si="0"/>
        <v>9909.1300000000028</v>
      </c>
      <c r="G29" t="s">
        <v>75</v>
      </c>
    </row>
    <row r="30" spans="1:12" x14ac:dyDescent="0.25">
      <c r="A30" s="30">
        <v>1</v>
      </c>
      <c r="B30" s="26">
        <v>45295</v>
      </c>
      <c r="C30" s="2" t="s">
        <v>83</v>
      </c>
      <c r="D30" t="s">
        <v>152</v>
      </c>
      <c r="E30" s="1">
        <v>55</v>
      </c>
      <c r="F30" s="1">
        <f t="shared" si="0"/>
        <v>9964.1300000000028</v>
      </c>
      <c r="H30" t="s">
        <v>400</v>
      </c>
    </row>
    <row r="31" spans="1:12" x14ac:dyDescent="0.25">
      <c r="A31" s="30">
        <v>1</v>
      </c>
      <c r="B31" s="26">
        <v>45296</v>
      </c>
      <c r="C31" s="2" t="s">
        <v>83</v>
      </c>
      <c r="D31" t="s">
        <v>153</v>
      </c>
      <c r="E31" s="1">
        <v>105</v>
      </c>
      <c r="F31" s="1">
        <f t="shared" si="0"/>
        <v>10069.130000000003</v>
      </c>
    </row>
    <row r="32" spans="1:12" x14ac:dyDescent="0.25">
      <c r="A32" s="30">
        <v>1</v>
      </c>
      <c r="B32" s="26">
        <v>45299</v>
      </c>
      <c r="C32" s="2" t="s">
        <v>80</v>
      </c>
      <c r="D32" t="s">
        <v>90</v>
      </c>
      <c r="E32" s="1">
        <v>120</v>
      </c>
      <c r="F32" s="1">
        <f t="shared" si="0"/>
        <v>10189.130000000003</v>
      </c>
    </row>
    <row r="33" spans="1:25" x14ac:dyDescent="0.25">
      <c r="A33" s="30">
        <v>1</v>
      </c>
      <c r="B33" s="26">
        <v>45300</v>
      </c>
      <c r="C33" s="2" t="s">
        <v>83</v>
      </c>
      <c r="D33" t="s">
        <v>87</v>
      </c>
      <c r="E33" s="1">
        <v>140</v>
      </c>
      <c r="F33" s="1">
        <f t="shared" si="0"/>
        <v>10329.130000000003</v>
      </c>
    </row>
    <row r="34" spans="1:25" x14ac:dyDescent="0.25">
      <c r="A34" s="30">
        <v>1</v>
      </c>
      <c r="B34" s="26">
        <v>45300</v>
      </c>
      <c r="C34" s="2" t="s">
        <v>83</v>
      </c>
      <c r="D34" t="s">
        <v>95</v>
      </c>
      <c r="E34" s="1">
        <v>120</v>
      </c>
      <c r="F34" s="1">
        <f t="shared" si="0"/>
        <v>10449.130000000003</v>
      </c>
    </row>
    <row r="35" spans="1:25" x14ac:dyDescent="0.25">
      <c r="A35" s="30">
        <v>16</v>
      </c>
      <c r="B35" s="26">
        <v>45300</v>
      </c>
      <c r="C35" s="2" t="s">
        <v>8</v>
      </c>
      <c r="D35" t="s">
        <v>11</v>
      </c>
      <c r="E35" s="1">
        <v>-29.12</v>
      </c>
      <c r="F35" s="1">
        <f t="shared" si="0"/>
        <v>10420.010000000002</v>
      </c>
      <c r="G35" t="s">
        <v>75</v>
      </c>
    </row>
    <row r="36" spans="1:25" x14ac:dyDescent="0.25">
      <c r="A36" s="30">
        <v>11</v>
      </c>
      <c r="B36" s="26">
        <v>45302</v>
      </c>
      <c r="C36" s="2" t="s">
        <v>8</v>
      </c>
      <c r="D36" t="s">
        <v>12</v>
      </c>
      <c r="E36" s="1">
        <v>-52.72</v>
      </c>
      <c r="F36" s="1">
        <f t="shared" ref="F36:F67" si="1">F35+E36</f>
        <v>10367.290000000003</v>
      </c>
      <c r="G36" t="s">
        <v>75</v>
      </c>
    </row>
    <row r="37" spans="1:25" x14ac:dyDescent="0.25">
      <c r="A37" s="30">
        <v>1</v>
      </c>
      <c r="B37" s="26">
        <v>45303</v>
      </c>
      <c r="C37" s="2" t="s">
        <v>83</v>
      </c>
      <c r="D37" t="s">
        <v>89</v>
      </c>
      <c r="E37" s="1">
        <v>90</v>
      </c>
      <c r="F37" s="1">
        <f t="shared" si="1"/>
        <v>10457.290000000003</v>
      </c>
    </row>
    <row r="38" spans="1:25" x14ac:dyDescent="0.25">
      <c r="A38" s="30">
        <v>1</v>
      </c>
      <c r="B38" s="26">
        <v>45303</v>
      </c>
      <c r="C38" s="2" t="s">
        <v>80</v>
      </c>
      <c r="D38" t="s">
        <v>92</v>
      </c>
      <c r="E38" s="1">
        <v>15</v>
      </c>
      <c r="F38" s="1">
        <f t="shared" si="1"/>
        <v>10472.290000000003</v>
      </c>
    </row>
    <row r="39" spans="1:25" x14ac:dyDescent="0.25">
      <c r="A39" s="30">
        <v>1</v>
      </c>
      <c r="B39" s="26">
        <v>45306</v>
      </c>
      <c r="C39" s="2" t="s">
        <v>83</v>
      </c>
      <c r="D39" t="s">
        <v>154</v>
      </c>
      <c r="E39" s="1">
        <v>55</v>
      </c>
      <c r="F39" s="1">
        <f t="shared" si="1"/>
        <v>10527.290000000003</v>
      </c>
      <c r="H39" t="s">
        <v>400</v>
      </c>
    </row>
    <row r="40" spans="1:25" x14ac:dyDescent="0.25">
      <c r="A40" s="30">
        <v>12</v>
      </c>
      <c r="B40" s="26">
        <v>45306</v>
      </c>
      <c r="C40" s="2" t="s">
        <v>82</v>
      </c>
      <c r="D40" t="s">
        <v>155</v>
      </c>
      <c r="E40" s="1">
        <v>-28</v>
      </c>
      <c r="F40" s="1">
        <f t="shared" si="1"/>
        <v>10499.290000000003</v>
      </c>
      <c r="G40">
        <v>9</v>
      </c>
    </row>
    <row r="41" spans="1:25" x14ac:dyDescent="0.25">
      <c r="A41" s="30">
        <v>16</v>
      </c>
      <c r="B41" s="26">
        <v>45306</v>
      </c>
      <c r="C41" s="2" t="s">
        <v>82</v>
      </c>
      <c r="D41" t="s">
        <v>156</v>
      </c>
      <c r="E41" s="1">
        <v>-25.2</v>
      </c>
      <c r="F41" s="1">
        <f t="shared" si="1"/>
        <v>10474.090000000002</v>
      </c>
      <c r="G41">
        <v>10</v>
      </c>
    </row>
    <row r="42" spans="1:25" x14ac:dyDescent="0.25">
      <c r="A42" s="30">
        <v>12</v>
      </c>
      <c r="B42" s="26">
        <v>45307</v>
      </c>
      <c r="C42" s="2" t="s">
        <v>80</v>
      </c>
      <c r="D42" t="s">
        <v>157</v>
      </c>
      <c r="E42" s="1">
        <v>28</v>
      </c>
      <c r="F42" s="1">
        <f t="shared" si="1"/>
        <v>10502.090000000002</v>
      </c>
    </row>
    <row r="43" spans="1:25" x14ac:dyDescent="0.25">
      <c r="A43" s="30">
        <v>1</v>
      </c>
      <c r="B43" s="26">
        <v>45309</v>
      </c>
      <c r="C43" s="2" t="s">
        <v>83</v>
      </c>
      <c r="D43" t="s">
        <v>158</v>
      </c>
      <c r="E43" s="1">
        <v>55</v>
      </c>
      <c r="F43" s="1">
        <f t="shared" si="1"/>
        <v>10557.090000000002</v>
      </c>
      <c r="H43" t="s">
        <v>400</v>
      </c>
    </row>
    <row r="44" spans="1:25" x14ac:dyDescent="0.25">
      <c r="A44" s="30">
        <v>23</v>
      </c>
      <c r="B44" s="26">
        <v>45309</v>
      </c>
      <c r="C44" s="2" t="s">
        <v>8</v>
      </c>
      <c r="D44" t="s">
        <v>74</v>
      </c>
      <c r="E44" s="1">
        <v>-37.799999999999997</v>
      </c>
      <c r="F44" s="1">
        <f t="shared" si="1"/>
        <v>10519.290000000003</v>
      </c>
      <c r="G44">
        <v>7</v>
      </c>
    </row>
    <row r="45" spans="1:25" x14ac:dyDescent="0.25">
      <c r="A45" s="30">
        <v>5</v>
      </c>
      <c r="B45" s="26">
        <v>45310</v>
      </c>
      <c r="C45" s="2" t="s">
        <v>83</v>
      </c>
      <c r="D45" t="s">
        <v>159</v>
      </c>
      <c r="E45" s="1">
        <v>200</v>
      </c>
      <c r="F45" s="1">
        <f t="shared" si="1"/>
        <v>10719.290000000003</v>
      </c>
    </row>
    <row r="46" spans="1:25" x14ac:dyDescent="0.25">
      <c r="A46" s="30">
        <v>1</v>
      </c>
      <c r="B46" s="26">
        <v>45310</v>
      </c>
      <c r="C46" s="2" t="s">
        <v>80</v>
      </c>
      <c r="D46" t="s">
        <v>92</v>
      </c>
      <c r="E46" s="1">
        <v>15</v>
      </c>
      <c r="F46" s="1">
        <f t="shared" si="1"/>
        <v>10734.290000000003</v>
      </c>
      <c r="N46" t="s">
        <v>177</v>
      </c>
      <c r="O46" t="s">
        <v>39</v>
      </c>
      <c r="P46" t="s">
        <v>172</v>
      </c>
      <c r="R46" t="s">
        <v>171</v>
      </c>
      <c r="U46" t="s">
        <v>40</v>
      </c>
      <c r="X46" t="s">
        <v>176</v>
      </c>
      <c r="Y46" t="s">
        <v>177</v>
      </c>
    </row>
    <row r="47" spans="1:25" x14ac:dyDescent="0.25">
      <c r="A47" s="30">
        <v>1</v>
      </c>
      <c r="B47" s="26">
        <v>45310</v>
      </c>
      <c r="C47" s="2" t="s">
        <v>80</v>
      </c>
      <c r="D47" t="s">
        <v>14</v>
      </c>
      <c r="E47" s="1">
        <v>60</v>
      </c>
      <c r="F47" s="1">
        <f t="shared" si="1"/>
        <v>10794.290000000003</v>
      </c>
      <c r="O47" s="26">
        <v>44832</v>
      </c>
      <c r="P47">
        <v>211891</v>
      </c>
      <c r="U47" s="26">
        <v>45035</v>
      </c>
      <c r="V47">
        <v>41174</v>
      </c>
      <c r="W47" t="s">
        <v>174</v>
      </c>
    </row>
    <row r="48" spans="1:25" x14ac:dyDescent="0.25">
      <c r="A48" s="30">
        <v>16</v>
      </c>
      <c r="B48" s="26">
        <v>45313</v>
      </c>
      <c r="C48" s="2" t="s">
        <v>8</v>
      </c>
      <c r="D48" t="s">
        <v>160</v>
      </c>
      <c r="E48" s="1">
        <v>-10.5</v>
      </c>
      <c r="F48" s="1">
        <f t="shared" si="1"/>
        <v>10783.790000000003</v>
      </c>
      <c r="G48">
        <v>6</v>
      </c>
      <c r="N48">
        <v>29</v>
      </c>
      <c r="O48" s="26">
        <v>44861</v>
      </c>
      <c r="P48">
        <v>212312</v>
      </c>
      <c r="Q48">
        <f>P48-P47</f>
        <v>421</v>
      </c>
      <c r="R48" s="61">
        <f>Q48/N48</f>
        <v>14.517241379310345</v>
      </c>
      <c r="U48" s="26">
        <v>45109</v>
      </c>
      <c r="V48">
        <v>41314</v>
      </c>
      <c r="W48" t="s">
        <v>175</v>
      </c>
      <c r="X48">
        <f>V48-V47</f>
        <v>140</v>
      </c>
      <c r="Y48">
        <v>73</v>
      </c>
    </row>
    <row r="49" spans="1:25" x14ac:dyDescent="0.25">
      <c r="A49" s="30">
        <v>1</v>
      </c>
      <c r="B49" s="26">
        <v>45314</v>
      </c>
      <c r="C49" s="2" t="s">
        <v>83</v>
      </c>
      <c r="D49" t="s">
        <v>117</v>
      </c>
      <c r="E49" s="1">
        <v>125</v>
      </c>
      <c r="F49" s="1">
        <f t="shared" si="1"/>
        <v>10908.790000000003</v>
      </c>
      <c r="N49">
        <v>30</v>
      </c>
      <c r="O49" s="26">
        <v>44891</v>
      </c>
      <c r="P49">
        <v>212802</v>
      </c>
      <c r="Q49">
        <f t="shared" ref="Q49:Q56" si="2">P49-P48</f>
        <v>490</v>
      </c>
      <c r="R49" s="61">
        <f t="shared" ref="R49:R56" si="3">Q49/N49</f>
        <v>16.333333333333332</v>
      </c>
      <c r="U49" s="26">
        <v>45139</v>
      </c>
      <c r="V49">
        <v>41314</v>
      </c>
      <c r="W49" t="s">
        <v>175</v>
      </c>
      <c r="X49">
        <f t="shared" ref="X49:X55" si="4">V49-V48</f>
        <v>0</v>
      </c>
      <c r="Y49">
        <v>30</v>
      </c>
    </row>
    <row r="50" spans="1:25" x14ac:dyDescent="0.25">
      <c r="A50" s="30">
        <v>11</v>
      </c>
      <c r="B50" s="26">
        <v>45314</v>
      </c>
      <c r="C50" s="2" t="s">
        <v>8</v>
      </c>
      <c r="D50" t="s">
        <v>12</v>
      </c>
      <c r="E50" s="1">
        <v>-64.53</v>
      </c>
      <c r="F50" s="1">
        <f t="shared" si="1"/>
        <v>10844.260000000002</v>
      </c>
      <c r="G50" t="s">
        <v>75</v>
      </c>
      <c r="N50">
        <v>26</v>
      </c>
      <c r="O50" s="26">
        <v>44917</v>
      </c>
      <c r="P50">
        <v>213257</v>
      </c>
      <c r="Q50">
        <f t="shared" si="2"/>
        <v>455</v>
      </c>
      <c r="R50" s="61">
        <f t="shared" si="3"/>
        <v>17.5</v>
      </c>
      <c r="U50" s="26">
        <v>45170</v>
      </c>
      <c r="V50">
        <v>41314</v>
      </c>
      <c r="W50" t="s">
        <v>175</v>
      </c>
      <c r="X50">
        <f t="shared" si="4"/>
        <v>0</v>
      </c>
      <c r="Y50">
        <v>31</v>
      </c>
    </row>
    <row r="51" spans="1:25" x14ac:dyDescent="0.25">
      <c r="A51" s="30">
        <v>1</v>
      </c>
      <c r="B51" s="26">
        <v>45316</v>
      </c>
      <c r="C51" s="2" t="s">
        <v>83</v>
      </c>
      <c r="D51" t="s">
        <v>86</v>
      </c>
      <c r="E51" s="1">
        <v>195</v>
      </c>
      <c r="F51" s="1">
        <f t="shared" si="1"/>
        <v>11039.260000000002</v>
      </c>
      <c r="N51">
        <v>34</v>
      </c>
      <c r="O51" s="26">
        <v>44951</v>
      </c>
      <c r="P51">
        <v>213724</v>
      </c>
      <c r="Q51">
        <f t="shared" si="2"/>
        <v>467</v>
      </c>
      <c r="R51" s="61">
        <f t="shared" si="3"/>
        <v>13.735294117647058</v>
      </c>
      <c r="U51" s="26">
        <v>45200</v>
      </c>
      <c r="V51">
        <v>41351</v>
      </c>
      <c r="W51" t="s">
        <v>175</v>
      </c>
      <c r="X51">
        <f t="shared" si="4"/>
        <v>37</v>
      </c>
      <c r="Y51">
        <v>30</v>
      </c>
    </row>
    <row r="52" spans="1:25" x14ac:dyDescent="0.25">
      <c r="A52" s="30">
        <v>1</v>
      </c>
      <c r="B52" s="26">
        <v>45317</v>
      </c>
      <c r="C52" s="2" t="s">
        <v>80</v>
      </c>
      <c r="D52" t="s">
        <v>92</v>
      </c>
      <c r="E52" s="1">
        <v>15</v>
      </c>
      <c r="F52" s="1">
        <f t="shared" si="1"/>
        <v>11054.260000000002</v>
      </c>
      <c r="K52">
        <v>535</v>
      </c>
      <c r="N52">
        <v>30</v>
      </c>
      <c r="O52" s="26">
        <v>44981</v>
      </c>
      <c r="P52">
        <v>214197</v>
      </c>
      <c r="Q52">
        <f t="shared" si="2"/>
        <v>473</v>
      </c>
      <c r="R52" s="61">
        <f t="shared" si="3"/>
        <v>15.766666666666667</v>
      </c>
      <c r="U52" s="26">
        <v>45231</v>
      </c>
      <c r="V52">
        <v>41688</v>
      </c>
      <c r="W52" t="s">
        <v>175</v>
      </c>
      <c r="X52">
        <f t="shared" si="4"/>
        <v>337</v>
      </c>
      <c r="Y52">
        <v>31</v>
      </c>
    </row>
    <row r="53" spans="1:25" x14ac:dyDescent="0.25">
      <c r="A53" s="30">
        <v>15</v>
      </c>
      <c r="B53" s="26">
        <v>45317</v>
      </c>
      <c r="C53" s="2" t="s">
        <v>82</v>
      </c>
      <c r="D53" t="s">
        <v>151</v>
      </c>
      <c r="E53" s="1">
        <v>-612.5</v>
      </c>
      <c r="F53" s="1">
        <f t="shared" si="1"/>
        <v>10441.760000000002</v>
      </c>
      <c r="G53">
        <v>11</v>
      </c>
      <c r="K53">
        <v>625</v>
      </c>
      <c r="N53">
        <v>32</v>
      </c>
      <c r="O53" s="26">
        <v>45011</v>
      </c>
      <c r="P53">
        <v>214680</v>
      </c>
      <c r="Q53">
        <f t="shared" si="2"/>
        <v>483</v>
      </c>
      <c r="R53" s="61">
        <f t="shared" si="3"/>
        <v>15.09375</v>
      </c>
      <c r="U53" s="26">
        <v>45260</v>
      </c>
      <c r="V53">
        <v>42474</v>
      </c>
      <c r="W53" t="s">
        <v>175</v>
      </c>
      <c r="X53">
        <f t="shared" si="4"/>
        <v>786</v>
      </c>
      <c r="Y53">
        <v>29</v>
      </c>
    </row>
    <row r="54" spans="1:25" x14ac:dyDescent="0.25">
      <c r="A54" s="30">
        <v>19</v>
      </c>
      <c r="B54" s="26">
        <v>45317</v>
      </c>
      <c r="C54" s="2" t="s">
        <v>82</v>
      </c>
      <c r="D54" t="s">
        <v>391</v>
      </c>
      <c r="E54" s="1">
        <v>-144</v>
      </c>
      <c r="F54" s="1">
        <f t="shared" si="1"/>
        <v>10297.760000000002</v>
      </c>
      <c r="G54">
        <v>12</v>
      </c>
      <c r="K54">
        <v>550</v>
      </c>
      <c r="N54">
        <v>61</v>
      </c>
      <c r="O54" s="26">
        <v>45072</v>
      </c>
      <c r="P54">
        <v>215357</v>
      </c>
      <c r="Q54">
        <f t="shared" si="2"/>
        <v>677</v>
      </c>
      <c r="R54" s="61">
        <f t="shared" si="3"/>
        <v>11.098360655737705</v>
      </c>
      <c r="U54" s="26">
        <v>45292</v>
      </c>
      <c r="V54">
        <v>43286</v>
      </c>
      <c r="W54" t="s">
        <v>175</v>
      </c>
      <c r="X54">
        <f t="shared" si="4"/>
        <v>812</v>
      </c>
      <c r="Y54">
        <v>31</v>
      </c>
    </row>
    <row r="55" spans="1:25" x14ac:dyDescent="0.25">
      <c r="A55" s="30">
        <v>1</v>
      </c>
      <c r="B55" s="26">
        <v>45323</v>
      </c>
      <c r="C55" s="2" t="s">
        <v>83</v>
      </c>
      <c r="D55" t="s">
        <v>95</v>
      </c>
      <c r="E55" s="1">
        <v>90</v>
      </c>
      <c r="F55" s="1">
        <f t="shared" si="1"/>
        <v>10387.760000000002</v>
      </c>
      <c r="K55">
        <v>200</v>
      </c>
      <c r="N55">
        <v>34</v>
      </c>
      <c r="O55" s="26">
        <v>45106</v>
      </c>
      <c r="P55">
        <v>215693</v>
      </c>
      <c r="Q55">
        <f t="shared" si="2"/>
        <v>336</v>
      </c>
      <c r="R55" s="61">
        <f t="shared" si="3"/>
        <v>9.882352941176471</v>
      </c>
      <c r="U55" s="26">
        <v>45323</v>
      </c>
      <c r="V55">
        <v>44199</v>
      </c>
      <c r="X55">
        <f t="shared" si="4"/>
        <v>913</v>
      </c>
      <c r="Y55">
        <v>31</v>
      </c>
    </row>
    <row r="56" spans="1:25" x14ac:dyDescent="0.25">
      <c r="A56" s="30">
        <v>23</v>
      </c>
      <c r="B56" s="26">
        <v>45323</v>
      </c>
      <c r="C56" s="2" t="s">
        <v>8</v>
      </c>
      <c r="D56" t="s">
        <v>142</v>
      </c>
      <c r="E56" s="1">
        <v>-27.24</v>
      </c>
      <c r="F56" s="1">
        <f t="shared" si="1"/>
        <v>10360.520000000002</v>
      </c>
      <c r="G56" t="s">
        <v>75</v>
      </c>
      <c r="K56">
        <v>670</v>
      </c>
      <c r="N56">
        <v>34</v>
      </c>
      <c r="O56" s="26">
        <v>45140</v>
      </c>
      <c r="P56">
        <v>215998</v>
      </c>
      <c r="Q56">
        <f t="shared" si="2"/>
        <v>305</v>
      </c>
      <c r="R56" s="61">
        <f t="shared" si="3"/>
        <v>8.9705882352941178</v>
      </c>
    </row>
    <row r="57" spans="1:25" x14ac:dyDescent="0.25">
      <c r="A57" s="30">
        <v>1</v>
      </c>
      <c r="B57" s="26">
        <v>45324</v>
      </c>
      <c r="C57" s="2" t="s">
        <v>83</v>
      </c>
      <c r="D57" t="s">
        <v>15</v>
      </c>
      <c r="E57" s="1">
        <v>535</v>
      </c>
      <c r="F57" s="1">
        <f t="shared" si="1"/>
        <v>10895.520000000002</v>
      </c>
      <c r="K57">
        <v>550</v>
      </c>
      <c r="N57">
        <v>26</v>
      </c>
      <c r="O57" s="26">
        <v>45166</v>
      </c>
      <c r="P57">
        <v>216224</v>
      </c>
      <c r="Q57">
        <f>P57-P56</f>
        <v>226</v>
      </c>
      <c r="R57" s="61">
        <f>Q57/N57</f>
        <v>8.6923076923076916</v>
      </c>
    </row>
    <row r="58" spans="1:25" x14ac:dyDescent="0.25">
      <c r="A58" s="30">
        <v>1</v>
      </c>
      <c r="B58" s="26">
        <v>45324</v>
      </c>
      <c r="C58" s="2" t="s">
        <v>80</v>
      </c>
      <c r="D58" t="s">
        <v>92</v>
      </c>
      <c r="E58" s="1">
        <v>15</v>
      </c>
      <c r="F58" s="1">
        <f t="shared" si="1"/>
        <v>10910.520000000002</v>
      </c>
      <c r="K58">
        <f>SUM(K52:K57)</f>
        <v>3130</v>
      </c>
      <c r="N58">
        <v>34</v>
      </c>
      <c r="O58" s="26">
        <v>45200</v>
      </c>
      <c r="P58">
        <v>216621</v>
      </c>
      <c r="Q58">
        <f t="shared" ref="Q58:Q62" si="5">P58-P57</f>
        <v>397</v>
      </c>
      <c r="R58" s="61">
        <f t="shared" ref="R58:R62" si="6">Q58/N58</f>
        <v>11.676470588235293</v>
      </c>
    </row>
    <row r="59" spans="1:25" x14ac:dyDescent="0.25">
      <c r="A59" s="30">
        <v>1</v>
      </c>
      <c r="B59" s="26">
        <v>45327</v>
      </c>
      <c r="C59" s="2" t="s">
        <v>83</v>
      </c>
      <c r="D59" s="41" t="s">
        <v>86</v>
      </c>
      <c r="E59" s="1">
        <v>215</v>
      </c>
      <c r="F59" s="1">
        <f t="shared" si="1"/>
        <v>11125.520000000002</v>
      </c>
      <c r="N59">
        <v>43</v>
      </c>
      <c r="O59" s="26">
        <v>45243</v>
      </c>
      <c r="P59">
        <v>217262</v>
      </c>
      <c r="Q59">
        <f t="shared" si="5"/>
        <v>641</v>
      </c>
      <c r="R59" s="61">
        <f t="shared" si="6"/>
        <v>14.906976744186046</v>
      </c>
    </row>
    <row r="60" spans="1:25" x14ac:dyDescent="0.25">
      <c r="A60" s="30">
        <v>1</v>
      </c>
      <c r="B60" s="26">
        <v>45327</v>
      </c>
      <c r="C60" s="2" t="s">
        <v>83</v>
      </c>
      <c r="D60" t="s">
        <v>161</v>
      </c>
      <c r="E60" s="1">
        <v>55</v>
      </c>
      <c r="F60" s="1">
        <f t="shared" si="1"/>
        <v>11180.520000000002</v>
      </c>
      <c r="H60" t="s">
        <v>400</v>
      </c>
      <c r="N60">
        <v>49</v>
      </c>
      <c r="O60" s="26">
        <v>44928</v>
      </c>
      <c r="P60">
        <v>218045</v>
      </c>
      <c r="Q60">
        <f t="shared" si="5"/>
        <v>783</v>
      </c>
      <c r="R60" s="61">
        <f t="shared" si="6"/>
        <v>15.979591836734693</v>
      </c>
    </row>
    <row r="61" spans="1:25" x14ac:dyDescent="0.25">
      <c r="A61" s="30">
        <v>1</v>
      </c>
      <c r="B61" s="26">
        <v>45327</v>
      </c>
      <c r="C61" s="2" t="s">
        <v>80</v>
      </c>
      <c r="D61" t="s">
        <v>94</v>
      </c>
      <c r="E61" s="1">
        <v>15</v>
      </c>
      <c r="F61" s="1">
        <f t="shared" si="1"/>
        <v>11195.520000000002</v>
      </c>
      <c r="N61">
        <v>28</v>
      </c>
      <c r="O61" s="26">
        <v>45321</v>
      </c>
      <c r="P61">
        <v>218521</v>
      </c>
      <c r="Q61">
        <f t="shared" si="5"/>
        <v>476</v>
      </c>
      <c r="R61" s="61">
        <f t="shared" si="6"/>
        <v>17</v>
      </c>
    </row>
    <row r="62" spans="1:25" x14ac:dyDescent="0.25">
      <c r="A62" s="30">
        <v>1</v>
      </c>
      <c r="B62" s="26">
        <v>45327</v>
      </c>
      <c r="C62" s="2" t="s">
        <v>80</v>
      </c>
      <c r="D62" t="s">
        <v>90</v>
      </c>
      <c r="E62" s="1">
        <v>75</v>
      </c>
      <c r="F62" s="1">
        <f t="shared" si="1"/>
        <v>11270.520000000002</v>
      </c>
      <c r="N62">
        <v>29</v>
      </c>
      <c r="O62" s="26">
        <v>45351</v>
      </c>
      <c r="P62">
        <v>219004</v>
      </c>
      <c r="Q62">
        <f t="shared" si="5"/>
        <v>483</v>
      </c>
      <c r="R62" s="61">
        <f t="shared" si="6"/>
        <v>16.655172413793103</v>
      </c>
    </row>
    <row r="63" spans="1:25" x14ac:dyDescent="0.25">
      <c r="A63" s="30">
        <v>1</v>
      </c>
      <c r="B63" s="26">
        <v>45328</v>
      </c>
      <c r="C63" s="2" t="s">
        <v>83</v>
      </c>
      <c r="D63" s="41" t="s">
        <v>104</v>
      </c>
      <c r="E63" s="1">
        <v>150</v>
      </c>
      <c r="F63" s="1">
        <f t="shared" si="1"/>
        <v>11420.520000000002</v>
      </c>
    </row>
    <row r="64" spans="1:25" x14ac:dyDescent="0.25">
      <c r="A64" s="30">
        <v>1</v>
      </c>
      <c r="B64" s="26">
        <v>45328</v>
      </c>
      <c r="C64" s="2" t="s">
        <v>80</v>
      </c>
      <c r="D64" t="s">
        <v>162</v>
      </c>
      <c r="E64" s="1">
        <v>55</v>
      </c>
      <c r="F64" s="1">
        <f t="shared" si="1"/>
        <v>11475.520000000002</v>
      </c>
      <c r="H64" t="s">
        <v>400</v>
      </c>
    </row>
    <row r="65" spans="1:8" x14ac:dyDescent="0.25">
      <c r="A65" s="30">
        <v>1</v>
      </c>
      <c r="B65" s="26">
        <v>45331</v>
      </c>
      <c r="C65" s="2" t="s">
        <v>83</v>
      </c>
      <c r="D65" s="41" t="s">
        <v>91</v>
      </c>
      <c r="E65" s="1">
        <v>45</v>
      </c>
      <c r="F65" s="1">
        <f t="shared" si="1"/>
        <v>11520.520000000002</v>
      </c>
    </row>
    <row r="66" spans="1:8" x14ac:dyDescent="0.25">
      <c r="A66" s="30">
        <v>16</v>
      </c>
      <c r="B66" s="26">
        <v>45331</v>
      </c>
      <c r="C66" s="2" t="s">
        <v>8</v>
      </c>
      <c r="D66" t="s">
        <v>11</v>
      </c>
      <c r="E66" s="1">
        <v>-29.12</v>
      </c>
      <c r="F66" s="1">
        <f t="shared" si="1"/>
        <v>11491.400000000001</v>
      </c>
      <c r="G66" t="s">
        <v>75</v>
      </c>
    </row>
    <row r="67" spans="1:8" x14ac:dyDescent="0.25">
      <c r="A67" s="30">
        <v>1</v>
      </c>
      <c r="B67" s="26">
        <v>45334</v>
      </c>
      <c r="C67" s="2" t="s">
        <v>83</v>
      </c>
      <c r="D67" s="41" t="s">
        <v>163</v>
      </c>
      <c r="E67" s="1">
        <v>55</v>
      </c>
      <c r="F67" s="1">
        <f t="shared" si="1"/>
        <v>11546.400000000001</v>
      </c>
      <c r="H67" t="s">
        <v>400</v>
      </c>
    </row>
    <row r="68" spans="1:8" x14ac:dyDescent="0.25">
      <c r="A68" s="30">
        <v>1</v>
      </c>
      <c r="B68" s="26">
        <v>45334</v>
      </c>
      <c r="C68" s="2" t="s">
        <v>83</v>
      </c>
      <c r="D68" t="s">
        <v>89</v>
      </c>
      <c r="E68" s="1">
        <v>165</v>
      </c>
      <c r="F68" s="1">
        <f t="shared" ref="F68:F87" si="7">F67+E68</f>
        <v>11711.400000000001</v>
      </c>
    </row>
    <row r="69" spans="1:8" x14ac:dyDescent="0.25">
      <c r="A69" s="30">
        <v>1</v>
      </c>
      <c r="B69" s="26">
        <v>45334</v>
      </c>
      <c r="C69" s="2" t="s">
        <v>83</v>
      </c>
      <c r="D69" s="41" t="s">
        <v>164</v>
      </c>
      <c r="E69" s="1">
        <v>55</v>
      </c>
      <c r="F69" s="1">
        <f t="shared" si="7"/>
        <v>11766.400000000001</v>
      </c>
      <c r="H69" t="s">
        <v>400</v>
      </c>
    </row>
    <row r="70" spans="1:8" x14ac:dyDescent="0.25">
      <c r="A70" s="30">
        <v>1</v>
      </c>
      <c r="B70" s="26">
        <v>45334</v>
      </c>
      <c r="C70" s="2" t="s">
        <v>80</v>
      </c>
      <c r="D70" t="s">
        <v>106</v>
      </c>
      <c r="E70" s="1">
        <v>75</v>
      </c>
      <c r="F70" s="1">
        <f t="shared" si="7"/>
        <v>11841.400000000001</v>
      </c>
    </row>
    <row r="71" spans="1:8" x14ac:dyDescent="0.25">
      <c r="A71" s="30">
        <v>1</v>
      </c>
      <c r="B71" s="26">
        <v>45336</v>
      </c>
      <c r="C71" s="2" t="s">
        <v>83</v>
      </c>
      <c r="D71" t="s">
        <v>153</v>
      </c>
      <c r="E71" s="1">
        <v>120</v>
      </c>
      <c r="F71" s="1">
        <f t="shared" si="7"/>
        <v>11961.400000000001</v>
      </c>
    </row>
    <row r="72" spans="1:8" x14ac:dyDescent="0.25">
      <c r="A72" s="30">
        <v>19</v>
      </c>
      <c r="B72" s="26">
        <v>45336</v>
      </c>
      <c r="C72" s="2" t="s">
        <v>82</v>
      </c>
      <c r="D72" t="s">
        <v>165</v>
      </c>
      <c r="E72" s="1">
        <v>-25.61</v>
      </c>
      <c r="F72" s="1">
        <f t="shared" si="7"/>
        <v>11935.79</v>
      </c>
      <c r="G72">
        <v>13</v>
      </c>
    </row>
    <row r="73" spans="1:8" x14ac:dyDescent="0.25">
      <c r="A73" s="30">
        <v>21</v>
      </c>
      <c r="B73" s="26">
        <v>45336</v>
      </c>
      <c r="C73" s="2" t="s">
        <v>82</v>
      </c>
      <c r="D73" t="s">
        <v>165</v>
      </c>
      <c r="E73" s="1">
        <v>-8.57</v>
      </c>
      <c r="F73" s="1">
        <f t="shared" si="7"/>
        <v>11927.220000000001</v>
      </c>
      <c r="G73">
        <v>14</v>
      </c>
    </row>
    <row r="74" spans="1:8" x14ac:dyDescent="0.25">
      <c r="A74" s="30">
        <v>21</v>
      </c>
      <c r="B74" s="26">
        <v>45336</v>
      </c>
      <c r="C74" s="2" t="s">
        <v>82</v>
      </c>
      <c r="D74" t="s">
        <v>166</v>
      </c>
      <c r="E74" s="1">
        <v>-27</v>
      </c>
      <c r="F74" s="1">
        <f t="shared" si="7"/>
        <v>11900.220000000001</v>
      </c>
      <c r="G74">
        <v>15</v>
      </c>
    </row>
    <row r="75" spans="1:8" x14ac:dyDescent="0.25">
      <c r="A75" s="30">
        <v>1</v>
      </c>
      <c r="B75" s="26">
        <v>45341</v>
      </c>
      <c r="C75" s="2" t="s">
        <v>80</v>
      </c>
      <c r="D75" t="s">
        <v>92</v>
      </c>
      <c r="E75" s="1">
        <v>15</v>
      </c>
      <c r="F75" s="1">
        <f t="shared" si="7"/>
        <v>11915.220000000001</v>
      </c>
    </row>
    <row r="76" spans="1:8" x14ac:dyDescent="0.25">
      <c r="A76" s="30">
        <v>23</v>
      </c>
      <c r="B76" s="26">
        <v>45341</v>
      </c>
      <c r="C76" s="2" t="s">
        <v>8</v>
      </c>
      <c r="D76" t="s">
        <v>74</v>
      </c>
      <c r="E76" s="1">
        <v>-37.799999999999997</v>
      </c>
      <c r="F76" s="1">
        <f t="shared" si="7"/>
        <v>11877.420000000002</v>
      </c>
      <c r="G76">
        <v>7</v>
      </c>
    </row>
    <row r="77" spans="1:8" x14ac:dyDescent="0.25">
      <c r="A77" s="30">
        <v>1</v>
      </c>
      <c r="B77" s="26">
        <v>45342</v>
      </c>
      <c r="C77" s="2" t="s">
        <v>80</v>
      </c>
      <c r="D77" t="s">
        <v>198</v>
      </c>
      <c r="E77" s="1">
        <v>605</v>
      </c>
      <c r="F77" s="1">
        <f t="shared" si="7"/>
        <v>12482.420000000002</v>
      </c>
    </row>
    <row r="78" spans="1:8" x14ac:dyDescent="0.25">
      <c r="A78" s="30">
        <v>14</v>
      </c>
      <c r="B78" s="26">
        <v>45342</v>
      </c>
      <c r="C78" s="2" t="s">
        <v>8</v>
      </c>
      <c r="D78" t="s">
        <v>108</v>
      </c>
      <c r="E78" s="1">
        <v>-642.34</v>
      </c>
      <c r="F78" s="1">
        <f t="shared" si="7"/>
        <v>11840.080000000002</v>
      </c>
      <c r="G78">
        <v>16</v>
      </c>
    </row>
    <row r="79" spans="1:8" x14ac:dyDescent="0.25">
      <c r="A79" s="30">
        <v>12</v>
      </c>
      <c r="B79" s="26">
        <v>45344</v>
      </c>
      <c r="C79" s="2" t="s">
        <v>82</v>
      </c>
      <c r="D79" t="s">
        <v>167</v>
      </c>
      <c r="E79" s="1">
        <v>-1000</v>
      </c>
      <c r="F79" s="1">
        <f t="shared" si="7"/>
        <v>10840.080000000002</v>
      </c>
      <c r="G79">
        <v>17</v>
      </c>
    </row>
    <row r="80" spans="1:8" x14ac:dyDescent="0.25">
      <c r="A80" s="30">
        <v>20</v>
      </c>
      <c r="B80" s="26">
        <v>45344</v>
      </c>
      <c r="C80" s="2" t="s">
        <v>82</v>
      </c>
      <c r="D80" t="s">
        <v>168</v>
      </c>
      <c r="E80" s="1">
        <v>-18.559999999999999</v>
      </c>
      <c r="F80" s="1">
        <f t="shared" si="7"/>
        <v>10821.520000000002</v>
      </c>
      <c r="G80">
        <v>18</v>
      </c>
    </row>
    <row r="81" spans="1:7" x14ac:dyDescent="0.25">
      <c r="A81" s="30">
        <v>1</v>
      </c>
      <c r="B81" s="26">
        <v>45345</v>
      </c>
      <c r="C81" s="2" t="s">
        <v>83</v>
      </c>
      <c r="D81" t="s">
        <v>117</v>
      </c>
      <c r="E81" s="1">
        <v>75</v>
      </c>
      <c r="F81" s="1">
        <f t="shared" si="7"/>
        <v>10896.520000000002</v>
      </c>
    </row>
    <row r="82" spans="1:7" x14ac:dyDescent="0.25">
      <c r="A82" s="30">
        <v>1</v>
      </c>
      <c r="B82" s="26">
        <v>45345</v>
      </c>
      <c r="C82" s="2" t="s">
        <v>80</v>
      </c>
      <c r="D82" t="s">
        <v>92</v>
      </c>
      <c r="E82" s="1">
        <v>15</v>
      </c>
      <c r="F82" s="1">
        <f t="shared" si="7"/>
        <v>10911.520000000002</v>
      </c>
    </row>
    <row r="83" spans="1:7" x14ac:dyDescent="0.25">
      <c r="A83" s="30">
        <v>1</v>
      </c>
      <c r="B83" s="26">
        <v>45345</v>
      </c>
      <c r="C83" s="2" t="s">
        <v>80</v>
      </c>
      <c r="D83" t="s">
        <v>14</v>
      </c>
      <c r="E83" s="1">
        <v>60</v>
      </c>
      <c r="F83" s="1">
        <f t="shared" si="7"/>
        <v>10971.520000000002</v>
      </c>
    </row>
    <row r="84" spans="1:7" x14ac:dyDescent="0.25">
      <c r="A84" s="30">
        <v>11</v>
      </c>
      <c r="B84" s="26">
        <v>45345</v>
      </c>
      <c r="C84" s="2" t="s">
        <v>8</v>
      </c>
      <c r="D84" t="s">
        <v>12</v>
      </c>
      <c r="E84" s="1">
        <v>-58.15</v>
      </c>
      <c r="F84" s="1">
        <f t="shared" si="7"/>
        <v>10913.370000000003</v>
      </c>
      <c r="G84" t="s">
        <v>75</v>
      </c>
    </row>
    <row r="85" spans="1:7" x14ac:dyDescent="0.25">
      <c r="A85" s="30">
        <v>1</v>
      </c>
      <c r="B85" s="26">
        <v>45348</v>
      </c>
      <c r="C85" s="2" t="s">
        <v>83</v>
      </c>
      <c r="D85" t="s">
        <v>94</v>
      </c>
      <c r="E85" s="1">
        <v>85</v>
      </c>
      <c r="F85" s="1">
        <f t="shared" si="7"/>
        <v>10998.370000000003</v>
      </c>
    </row>
    <row r="86" spans="1:7" x14ac:dyDescent="0.25">
      <c r="A86" s="30">
        <v>15</v>
      </c>
      <c r="B86" s="26">
        <v>45348</v>
      </c>
      <c r="C86" s="2" t="s">
        <v>82</v>
      </c>
      <c r="D86" t="s">
        <v>151</v>
      </c>
      <c r="E86" s="1">
        <v>-612.5</v>
      </c>
      <c r="F86" s="1">
        <f t="shared" si="7"/>
        <v>10385.870000000003</v>
      </c>
      <c r="G86">
        <v>19</v>
      </c>
    </row>
    <row r="87" spans="1:7" x14ac:dyDescent="0.25">
      <c r="A87" s="30">
        <v>1</v>
      </c>
      <c r="B87" s="26">
        <v>45351</v>
      </c>
      <c r="C87" s="2" t="s">
        <v>83</v>
      </c>
      <c r="D87" t="s">
        <v>15</v>
      </c>
      <c r="E87" s="1">
        <v>625</v>
      </c>
      <c r="F87" s="1">
        <f t="shared" si="7"/>
        <v>11010.870000000003</v>
      </c>
    </row>
    <row r="88" spans="1:7" hidden="1" x14ac:dyDescent="0.25">
      <c r="B88" s="26"/>
      <c r="E88" s="1"/>
      <c r="F88" s="1"/>
    </row>
    <row r="89" spans="1:7" hidden="1" x14ac:dyDescent="0.25">
      <c r="B89" s="26"/>
      <c r="E89" s="1"/>
      <c r="F89" s="1"/>
    </row>
    <row r="90" spans="1:7" hidden="1" x14ac:dyDescent="0.25">
      <c r="B90" s="26"/>
      <c r="E90" s="1"/>
      <c r="F90" s="1"/>
    </row>
    <row r="91" spans="1:7" hidden="1" x14ac:dyDescent="0.25">
      <c r="B91" s="26"/>
      <c r="E91" s="1"/>
      <c r="F91" s="1"/>
    </row>
    <row r="92" spans="1:7" hidden="1" x14ac:dyDescent="0.25">
      <c r="B92" s="26"/>
      <c r="E92" s="1"/>
      <c r="F92" s="1"/>
    </row>
    <row r="93" spans="1:7" hidden="1" x14ac:dyDescent="0.25">
      <c r="B93" s="26"/>
      <c r="E93" s="1"/>
      <c r="F93" s="1"/>
    </row>
    <row r="94" spans="1:7" hidden="1" x14ac:dyDescent="0.25">
      <c r="B94" s="26"/>
      <c r="E94" s="1"/>
      <c r="F94" s="1"/>
    </row>
    <row r="95" spans="1:7" hidden="1" x14ac:dyDescent="0.25">
      <c r="B95" s="26"/>
      <c r="E95" s="1"/>
      <c r="F95" s="1"/>
    </row>
    <row r="96" spans="1:7" hidden="1" x14ac:dyDescent="0.25">
      <c r="B96" s="26"/>
      <c r="E96" s="1"/>
      <c r="F96" s="1"/>
    </row>
    <row r="97" spans="2:22" hidden="1" x14ac:dyDescent="0.25">
      <c r="B97" s="26"/>
      <c r="E97" s="1"/>
      <c r="F97" s="1"/>
    </row>
    <row r="98" spans="2:22" hidden="1" x14ac:dyDescent="0.25">
      <c r="B98" s="26"/>
      <c r="E98" s="1"/>
      <c r="F98" s="1"/>
    </row>
    <row r="99" spans="2:22" hidden="1" x14ac:dyDescent="0.25">
      <c r="B99" s="26"/>
      <c r="E99" s="1"/>
      <c r="F99" s="1"/>
    </row>
    <row r="100" spans="2:22" hidden="1" x14ac:dyDescent="0.25">
      <c r="B100" s="26"/>
      <c r="E100" s="1"/>
      <c r="F100" s="1"/>
    </row>
    <row r="101" spans="2:22" hidden="1" x14ac:dyDescent="0.25">
      <c r="B101" s="26"/>
      <c r="E101" s="1"/>
      <c r="F101" s="1"/>
    </row>
    <row r="102" spans="2:22" hidden="1" x14ac:dyDescent="0.25">
      <c r="B102" s="26"/>
      <c r="E102" s="1"/>
      <c r="F102" s="1"/>
    </row>
    <row r="103" spans="2:22" hidden="1" x14ac:dyDescent="0.25">
      <c r="B103" s="26"/>
      <c r="E103" s="1"/>
      <c r="F103" s="1"/>
    </row>
    <row r="104" spans="2:22" hidden="1" x14ac:dyDescent="0.25">
      <c r="B104" s="26"/>
      <c r="E104" s="1"/>
      <c r="F104" s="1"/>
    </row>
    <row r="105" spans="2:22" hidden="1" x14ac:dyDescent="0.25">
      <c r="B105" s="26"/>
      <c r="E105" s="1"/>
      <c r="F105" s="1"/>
      <c r="V105" s="26"/>
    </row>
    <row r="106" spans="2:22" hidden="1" x14ac:dyDescent="0.25">
      <c r="B106" s="26"/>
      <c r="E106" s="1"/>
      <c r="F106" s="1"/>
    </row>
    <row r="107" spans="2:22" hidden="1" x14ac:dyDescent="0.25">
      <c r="B107" s="26"/>
      <c r="E107" s="1"/>
      <c r="F107" s="1"/>
      <c r="U107" t="s">
        <v>51</v>
      </c>
    </row>
    <row r="108" spans="2:22" hidden="1" x14ac:dyDescent="0.25">
      <c r="B108" s="26"/>
      <c r="E108" s="1"/>
      <c r="F108" s="1"/>
      <c r="V108" s="26"/>
    </row>
    <row r="109" spans="2:22" hidden="1" x14ac:dyDescent="0.25">
      <c r="B109" s="26"/>
      <c r="E109" s="1"/>
      <c r="F109" s="1"/>
    </row>
    <row r="110" spans="2:22" hidden="1" x14ac:dyDescent="0.25">
      <c r="B110" s="26"/>
      <c r="E110" s="1"/>
      <c r="F110" s="1"/>
    </row>
    <row r="111" spans="2:22" hidden="1" x14ac:dyDescent="0.25">
      <c r="B111" s="26"/>
      <c r="E111" s="1"/>
      <c r="F111" s="1"/>
    </row>
    <row r="112" spans="2:22" hidden="1" x14ac:dyDescent="0.25">
      <c r="B112" s="26"/>
      <c r="E112" s="1"/>
      <c r="F112" s="1"/>
    </row>
    <row r="113" spans="2:6" hidden="1" x14ac:dyDescent="0.25">
      <c r="B113" s="26"/>
      <c r="E113" s="1"/>
      <c r="F113" s="1"/>
    </row>
    <row r="114" spans="2:6" hidden="1" x14ac:dyDescent="0.25">
      <c r="B114" s="26"/>
      <c r="E114" s="1"/>
      <c r="F114" s="1"/>
    </row>
    <row r="115" spans="2:6" hidden="1" x14ac:dyDescent="0.25">
      <c r="B115" s="26"/>
      <c r="E115" s="1"/>
      <c r="F115" s="1"/>
    </row>
    <row r="116" spans="2:6" hidden="1" x14ac:dyDescent="0.25">
      <c r="B116" s="26"/>
      <c r="E116" s="1"/>
      <c r="F116" s="1"/>
    </row>
    <row r="117" spans="2:6" hidden="1" x14ac:dyDescent="0.25">
      <c r="B117" s="26"/>
      <c r="E117" s="1"/>
      <c r="F117" s="1"/>
    </row>
    <row r="118" spans="2:6" hidden="1" x14ac:dyDescent="0.25">
      <c r="B118" s="26"/>
      <c r="E118" s="1"/>
      <c r="F118" s="1"/>
    </row>
    <row r="119" spans="2:6" hidden="1" x14ac:dyDescent="0.25">
      <c r="B119" s="26"/>
      <c r="E119" s="1"/>
      <c r="F119" s="1"/>
    </row>
    <row r="120" spans="2:6" hidden="1" x14ac:dyDescent="0.25">
      <c r="B120" s="26"/>
      <c r="E120" s="1"/>
      <c r="F120" s="1"/>
    </row>
    <row r="121" spans="2:6" hidden="1" x14ac:dyDescent="0.25">
      <c r="B121" s="26"/>
      <c r="E121" s="1"/>
      <c r="F121" s="1"/>
    </row>
    <row r="122" spans="2:6" hidden="1" x14ac:dyDescent="0.25">
      <c r="B122" s="26"/>
      <c r="E122" s="1"/>
      <c r="F122" s="1"/>
    </row>
    <row r="123" spans="2:6" hidden="1" x14ac:dyDescent="0.25">
      <c r="B123" s="26"/>
      <c r="E123" s="1"/>
      <c r="F123" s="1"/>
    </row>
    <row r="124" spans="2:6" hidden="1" x14ac:dyDescent="0.25">
      <c r="B124" s="26"/>
      <c r="E124" s="1"/>
      <c r="F124" s="1"/>
    </row>
    <row r="125" spans="2:6" hidden="1" x14ac:dyDescent="0.25">
      <c r="B125" s="26"/>
      <c r="E125" s="1"/>
      <c r="F125" s="1"/>
    </row>
    <row r="126" spans="2:6" hidden="1" x14ac:dyDescent="0.25">
      <c r="B126" s="26"/>
      <c r="E126" s="1"/>
      <c r="F126" s="1"/>
    </row>
    <row r="127" spans="2:6" hidden="1" x14ac:dyDescent="0.25">
      <c r="B127" s="26"/>
      <c r="E127" s="1"/>
      <c r="F127" s="1"/>
    </row>
    <row r="128" spans="2:6" hidden="1" x14ac:dyDescent="0.25">
      <c r="B128" s="26"/>
      <c r="E128" s="1"/>
      <c r="F128" s="1"/>
    </row>
    <row r="129" spans="2:6" hidden="1" x14ac:dyDescent="0.25">
      <c r="B129" s="26"/>
      <c r="E129" s="1"/>
      <c r="F129" s="1"/>
    </row>
    <row r="130" spans="2:6" hidden="1" x14ac:dyDescent="0.25">
      <c r="B130" s="26"/>
      <c r="E130" s="1"/>
      <c r="F130" s="1"/>
    </row>
    <row r="131" spans="2:6" hidden="1" x14ac:dyDescent="0.25">
      <c r="B131" s="26"/>
      <c r="E131" s="1"/>
      <c r="F131" s="1"/>
    </row>
    <row r="132" spans="2:6" hidden="1" x14ac:dyDescent="0.25">
      <c r="B132" s="26"/>
      <c r="E132" s="1"/>
      <c r="F132" s="1"/>
    </row>
    <row r="133" spans="2:6" hidden="1" x14ac:dyDescent="0.25">
      <c r="B133" s="26"/>
      <c r="E133" s="1"/>
      <c r="F133" s="1"/>
    </row>
    <row r="134" spans="2:6" hidden="1" x14ac:dyDescent="0.25">
      <c r="B134" s="26"/>
      <c r="E134" s="1"/>
      <c r="F134" s="1"/>
    </row>
    <row r="135" spans="2:6" hidden="1" x14ac:dyDescent="0.25">
      <c r="B135" s="26"/>
      <c r="E135" s="1"/>
      <c r="F135" s="1"/>
    </row>
    <row r="136" spans="2:6" hidden="1" x14ac:dyDescent="0.25">
      <c r="B136" s="26"/>
      <c r="E136" s="1"/>
      <c r="F136" s="1"/>
    </row>
    <row r="137" spans="2:6" hidden="1" x14ac:dyDescent="0.25">
      <c r="B137" s="26"/>
      <c r="E137" s="1"/>
      <c r="F137" s="1"/>
    </row>
    <row r="138" spans="2:6" hidden="1" x14ac:dyDescent="0.25">
      <c r="B138" s="26"/>
      <c r="E138" s="1"/>
      <c r="F138" s="1"/>
    </row>
    <row r="139" spans="2:6" hidden="1" x14ac:dyDescent="0.25">
      <c r="B139" s="26"/>
      <c r="E139" s="1"/>
      <c r="F139" s="1"/>
    </row>
    <row r="140" spans="2:6" hidden="1" x14ac:dyDescent="0.25">
      <c r="B140" s="26"/>
      <c r="E140" s="1"/>
      <c r="F140" s="1"/>
    </row>
    <row r="141" spans="2:6" hidden="1" x14ac:dyDescent="0.25">
      <c r="B141" s="26"/>
      <c r="E141" s="1"/>
      <c r="F141" s="1"/>
    </row>
    <row r="142" spans="2:6" hidden="1" x14ac:dyDescent="0.25">
      <c r="B142" s="26"/>
      <c r="E142" s="1"/>
      <c r="F142" s="1"/>
    </row>
    <row r="143" spans="2:6" hidden="1" x14ac:dyDescent="0.25">
      <c r="B143" s="26"/>
      <c r="E143" s="1"/>
      <c r="F143" s="1"/>
    </row>
    <row r="144" spans="2:6" hidden="1" x14ac:dyDescent="0.25">
      <c r="B144" s="26"/>
      <c r="E144" s="1"/>
      <c r="F144" s="1"/>
    </row>
    <row r="145" spans="1:8" hidden="1" x14ac:dyDescent="0.25">
      <c r="B145" s="26"/>
      <c r="E145" s="1"/>
      <c r="F145" s="1"/>
    </row>
    <row r="146" spans="1:8" hidden="1" x14ac:dyDescent="0.25">
      <c r="B146" s="26"/>
      <c r="E146" s="1"/>
      <c r="F146" s="1"/>
    </row>
    <row r="147" spans="1:8" hidden="1" x14ac:dyDescent="0.25">
      <c r="B147" s="26"/>
      <c r="E147" s="1"/>
      <c r="F147" s="1"/>
    </row>
    <row r="148" spans="1:8" hidden="1" x14ac:dyDescent="0.25">
      <c r="B148" s="26"/>
      <c r="E148" s="1"/>
      <c r="F148" s="1"/>
    </row>
    <row r="149" spans="1:8" hidden="1" x14ac:dyDescent="0.25">
      <c r="B149" s="26"/>
      <c r="E149" s="1"/>
      <c r="F149" s="1"/>
    </row>
    <row r="150" spans="1:8" hidden="1" x14ac:dyDescent="0.25">
      <c r="B150" s="26"/>
      <c r="E150" s="1"/>
      <c r="F150" s="1"/>
    </row>
    <row r="151" spans="1:8" hidden="1" x14ac:dyDescent="0.25">
      <c r="B151" s="26"/>
      <c r="E151" s="1"/>
      <c r="F151" s="1"/>
    </row>
    <row r="152" spans="1:8" hidden="1" x14ac:dyDescent="0.25">
      <c r="B152" s="26"/>
      <c r="E152" s="1"/>
      <c r="F152" s="1"/>
    </row>
    <row r="153" spans="1:8" hidden="1" x14ac:dyDescent="0.25">
      <c r="B153" s="26"/>
      <c r="E153" s="1"/>
      <c r="F153" s="1"/>
    </row>
    <row r="154" spans="1:8" hidden="1" x14ac:dyDescent="0.25">
      <c r="B154" s="26"/>
      <c r="E154" s="1"/>
      <c r="F154" s="1"/>
    </row>
    <row r="155" spans="1:8" hidden="1" x14ac:dyDescent="0.25">
      <c r="B155" s="26"/>
      <c r="E155" s="1"/>
      <c r="F155" s="1"/>
    </row>
    <row r="156" spans="1:8" hidden="1" x14ac:dyDescent="0.25">
      <c r="E156" s="1"/>
      <c r="F156" s="1"/>
    </row>
    <row r="157" spans="1:8" hidden="1" x14ac:dyDescent="0.25">
      <c r="E157" s="1"/>
      <c r="F157" s="1"/>
    </row>
    <row r="158" spans="1:8" hidden="1" x14ac:dyDescent="0.25">
      <c r="E158" s="1"/>
      <c r="F158" s="1"/>
    </row>
    <row r="159" spans="1:8" x14ac:dyDescent="0.25">
      <c r="A159" s="30">
        <v>23</v>
      </c>
      <c r="B159" s="26">
        <v>45352</v>
      </c>
      <c r="C159" s="2" t="s">
        <v>8</v>
      </c>
      <c r="D159" t="s">
        <v>142</v>
      </c>
      <c r="E159" s="1">
        <v>-27.24</v>
      </c>
      <c r="F159" s="1">
        <f>F87+E159</f>
        <v>10983.630000000003</v>
      </c>
      <c r="G159" t="s">
        <v>75</v>
      </c>
    </row>
    <row r="160" spans="1:8" x14ac:dyDescent="0.25">
      <c r="A160" s="30">
        <v>1</v>
      </c>
      <c r="B160" s="26">
        <v>45355</v>
      </c>
      <c r="C160" s="2" t="s">
        <v>83</v>
      </c>
      <c r="D160" t="s">
        <v>173</v>
      </c>
      <c r="E160" s="1">
        <v>55</v>
      </c>
      <c r="F160" s="1">
        <f t="shared" ref="F160:F191" si="8">F159+E160</f>
        <v>11038.630000000003</v>
      </c>
      <c r="H160" t="s">
        <v>400</v>
      </c>
    </row>
    <row r="161" spans="1:8" x14ac:dyDescent="0.25">
      <c r="A161" s="30">
        <v>1</v>
      </c>
      <c r="B161" s="26">
        <v>45355</v>
      </c>
      <c r="C161" s="2" t="s">
        <v>83</v>
      </c>
      <c r="D161" t="s">
        <v>95</v>
      </c>
      <c r="E161" s="1">
        <v>120</v>
      </c>
      <c r="F161" s="1">
        <f t="shared" si="8"/>
        <v>11158.630000000003</v>
      </c>
    </row>
    <row r="162" spans="1:8" x14ac:dyDescent="0.25">
      <c r="A162" s="30">
        <v>1</v>
      </c>
      <c r="B162" s="26">
        <v>45355</v>
      </c>
      <c r="C162" s="2" t="s">
        <v>80</v>
      </c>
      <c r="D162" t="s">
        <v>88</v>
      </c>
      <c r="E162" s="1">
        <v>1000</v>
      </c>
      <c r="F162" s="1">
        <f t="shared" si="8"/>
        <v>12158.630000000003</v>
      </c>
      <c r="G162" t="s">
        <v>51</v>
      </c>
    </row>
    <row r="163" spans="1:8" x14ac:dyDescent="0.25">
      <c r="A163" s="30">
        <v>1</v>
      </c>
      <c r="B163" s="26">
        <v>45355</v>
      </c>
      <c r="C163" s="2" t="s">
        <v>80</v>
      </c>
      <c r="D163" t="s">
        <v>92</v>
      </c>
      <c r="E163" s="1">
        <v>15</v>
      </c>
      <c r="F163" s="1">
        <f t="shared" si="8"/>
        <v>12173.630000000003</v>
      </c>
    </row>
    <row r="164" spans="1:8" x14ac:dyDescent="0.25">
      <c r="A164" s="30">
        <v>13</v>
      </c>
      <c r="B164" s="26">
        <v>45355</v>
      </c>
      <c r="C164" s="2" t="s">
        <v>8</v>
      </c>
      <c r="D164" t="s">
        <v>169</v>
      </c>
      <c r="E164" s="1">
        <v>-364.44</v>
      </c>
      <c r="F164" s="1">
        <f t="shared" si="8"/>
        <v>11809.190000000002</v>
      </c>
      <c r="G164">
        <v>20</v>
      </c>
    </row>
    <row r="165" spans="1:8" x14ac:dyDescent="0.25">
      <c r="A165" s="30">
        <v>1</v>
      </c>
      <c r="B165" s="26">
        <v>45356</v>
      </c>
      <c r="C165" s="2" t="s">
        <v>80</v>
      </c>
      <c r="D165" t="s">
        <v>90</v>
      </c>
      <c r="E165" s="1">
        <v>115</v>
      </c>
      <c r="F165" s="1">
        <f t="shared" si="8"/>
        <v>11924.190000000002</v>
      </c>
    </row>
    <row r="166" spans="1:8" x14ac:dyDescent="0.25">
      <c r="A166" s="30">
        <v>14</v>
      </c>
      <c r="B166" s="26">
        <v>45357</v>
      </c>
      <c r="C166" s="2" t="s">
        <v>8</v>
      </c>
      <c r="D166" t="s">
        <v>108</v>
      </c>
      <c r="E166" s="1">
        <v>-664.97</v>
      </c>
      <c r="F166" s="1">
        <f t="shared" si="8"/>
        <v>11259.220000000003</v>
      </c>
      <c r="G166">
        <v>21</v>
      </c>
    </row>
    <row r="167" spans="1:8" x14ac:dyDescent="0.25">
      <c r="A167" s="30">
        <v>1</v>
      </c>
      <c r="B167" s="26">
        <v>45358</v>
      </c>
      <c r="C167" s="2" t="s">
        <v>83</v>
      </c>
      <c r="D167" t="s">
        <v>104</v>
      </c>
      <c r="E167" s="1">
        <v>400</v>
      </c>
      <c r="F167" s="1">
        <f t="shared" si="8"/>
        <v>11659.220000000003</v>
      </c>
    </row>
    <row r="168" spans="1:8" x14ac:dyDescent="0.25">
      <c r="A168" s="30">
        <v>1</v>
      </c>
      <c r="B168" s="26">
        <v>45358</v>
      </c>
      <c r="C168" s="2" t="s">
        <v>83</v>
      </c>
      <c r="D168" t="s">
        <v>86</v>
      </c>
      <c r="E168" s="1">
        <v>260</v>
      </c>
      <c r="F168" s="1">
        <f t="shared" si="8"/>
        <v>11919.220000000003</v>
      </c>
    </row>
    <row r="169" spans="1:8" x14ac:dyDescent="0.25">
      <c r="A169" s="30">
        <v>14</v>
      </c>
      <c r="B169" s="26">
        <v>45358</v>
      </c>
      <c r="C169" s="2" t="s">
        <v>8</v>
      </c>
      <c r="D169" t="s">
        <v>108</v>
      </c>
      <c r="E169" s="1">
        <v>-739.58</v>
      </c>
      <c r="F169" s="1">
        <f t="shared" si="8"/>
        <v>11179.640000000003</v>
      </c>
      <c r="G169">
        <v>22</v>
      </c>
    </row>
    <row r="170" spans="1:8" x14ac:dyDescent="0.25">
      <c r="A170" s="30">
        <v>1</v>
      </c>
      <c r="B170" s="26">
        <v>45359</v>
      </c>
      <c r="C170" s="2" t="s">
        <v>83</v>
      </c>
      <c r="D170" t="s">
        <v>91</v>
      </c>
      <c r="E170" s="1">
        <v>45</v>
      </c>
      <c r="F170" s="1">
        <f t="shared" si="8"/>
        <v>11224.640000000003</v>
      </c>
    </row>
    <row r="171" spans="1:8" x14ac:dyDescent="0.25">
      <c r="A171" s="30">
        <v>16</v>
      </c>
      <c r="B171" s="26">
        <v>45362</v>
      </c>
      <c r="C171" s="2" t="s">
        <v>8</v>
      </c>
      <c r="D171" t="s">
        <v>11</v>
      </c>
      <c r="E171" s="1">
        <v>-29.12</v>
      </c>
      <c r="F171" s="1">
        <f t="shared" si="8"/>
        <v>11195.520000000002</v>
      </c>
      <c r="G171" t="s">
        <v>75</v>
      </c>
    </row>
    <row r="172" spans="1:8" x14ac:dyDescent="0.25">
      <c r="A172" s="30">
        <v>1</v>
      </c>
      <c r="B172" s="26">
        <v>45362</v>
      </c>
      <c r="C172" s="2" t="s">
        <v>80</v>
      </c>
      <c r="D172" t="s">
        <v>92</v>
      </c>
      <c r="E172" s="1">
        <v>15</v>
      </c>
      <c r="F172" s="1">
        <f t="shared" si="8"/>
        <v>11210.520000000002</v>
      </c>
    </row>
    <row r="173" spans="1:8" x14ac:dyDescent="0.25">
      <c r="A173" s="30">
        <v>1</v>
      </c>
      <c r="B173" s="26">
        <v>45362</v>
      </c>
      <c r="C173" s="2" t="s">
        <v>83</v>
      </c>
      <c r="D173" t="s">
        <v>117</v>
      </c>
      <c r="E173" s="1">
        <v>25</v>
      </c>
      <c r="F173" s="1">
        <f t="shared" si="8"/>
        <v>11235.520000000002</v>
      </c>
    </row>
    <row r="174" spans="1:8" x14ac:dyDescent="0.25">
      <c r="A174" s="30">
        <v>1</v>
      </c>
      <c r="B174" s="26">
        <v>45363</v>
      </c>
      <c r="C174" s="2" t="s">
        <v>83</v>
      </c>
      <c r="D174" t="s">
        <v>178</v>
      </c>
      <c r="E174" s="1">
        <v>55</v>
      </c>
      <c r="F174" s="1">
        <f t="shared" si="8"/>
        <v>11290.520000000002</v>
      </c>
      <c r="H174" t="s">
        <v>400</v>
      </c>
    </row>
    <row r="175" spans="1:8" x14ac:dyDescent="0.25">
      <c r="A175" s="30">
        <v>1</v>
      </c>
      <c r="B175" s="26">
        <v>45424</v>
      </c>
      <c r="C175" s="2" t="s">
        <v>80</v>
      </c>
      <c r="D175" t="s">
        <v>179</v>
      </c>
      <c r="E175" s="1">
        <v>75</v>
      </c>
      <c r="F175" s="1">
        <f t="shared" si="8"/>
        <v>11365.520000000002</v>
      </c>
      <c r="H175" t="s">
        <v>400</v>
      </c>
    </row>
    <row r="176" spans="1:8" x14ac:dyDescent="0.25">
      <c r="A176" s="30">
        <v>1</v>
      </c>
      <c r="B176" s="26">
        <v>45366</v>
      </c>
      <c r="C176" s="2" t="s">
        <v>83</v>
      </c>
      <c r="D176" t="s">
        <v>198</v>
      </c>
      <c r="E176" s="1">
        <v>805</v>
      </c>
      <c r="F176" s="1">
        <f t="shared" si="8"/>
        <v>12170.520000000002</v>
      </c>
    </row>
    <row r="177" spans="1:7" x14ac:dyDescent="0.25">
      <c r="A177" s="30">
        <v>1</v>
      </c>
      <c r="B177" s="26">
        <v>45366</v>
      </c>
      <c r="C177" s="2" t="s">
        <v>83</v>
      </c>
      <c r="D177" t="s">
        <v>153</v>
      </c>
      <c r="E177" s="1">
        <v>75</v>
      </c>
      <c r="F177" s="1">
        <f t="shared" si="8"/>
        <v>12245.520000000002</v>
      </c>
    </row>
    <row r="178" spans="1:7" x14ac:dyDescent="0.25">
      <c r="A178" s="30">
        <v>1</v>
      </c>
      <c r="B178" s="26">
        <v>45366</v>
      </c>
      <c r="C178" s="2" t="s">
        <v>80</v>
      </c>
      <c r="D178" t="s">
        <v>92</v>
      </c>
      <c r="E178" s="1">
        <v>15</v>
      </c>
      <c r="F178" s="1">
        <f t="shared" si="8"/>
        <v>12260.520000000002</v>
      </c>
    </row>
    <row r="179" spans="1:7" x14ac:dyDescent="0.25">
      <c r="A179" s="30">
        <v>1</v>
      </c>
      <c r="B179" s="26">
        <v>45369</v>
      </c>
      <c r="C179" s="2" t="s">
        <v>83</v>
      </c>
      <c r="D179" t="s">
        <v>117</v>
      </c>
      <c r="E179" s="1">
        <v>25</v>
      </c>
      <c r="F179" s="1">
        <f t="shared" si="8"/>
        <v>12285.520000000002</v>
      </c>
    </row>
    <row r="180" spans="1:7" x14ac:dyDescent="0.25">
      <c r="A180" s="30">
        <v>23</v>
      </c>
      <c r="B180" s="26">
        <v>45369</v>
      </c>
      <c r="C180" s="2" t="s">
        <v>8</v>
      </c>
      <c r="D180" t="s">
        <v>74</v>
      </c>
      <c r="E180" s="1">
        <v>-37.799999999999997</v>
      </c>
      <c r="F180" s="1">
        <f t="shared" si="8"/>
        <v>12247.720000000003</v>
      </c>
      <c r="G180">
        <v>7</v>
      </c>
    </row>
    <row r="181" spans="1:7" x14ac:dyDescent="0.25">
      <c r="A181" s="30">
        <v>19</v>
      </c>
      <c r="B181" s="26">
        <v>45370</v>
      </c>
      <c r="C181" s="2" t="s">
        <v>82</v>
      </c>
      <c r="D181" t="s">
        <v>180</v>
      </c>
      <c r="E181" s="1">
        <v>-55.98</v>
      </c>
      <c r="F181" s="1">
        <f t="shared" si="8"/>
        <v>12191.740000000003</v>
      </c>
      <c r="G181">
        <v>23</v>
      </c>
    </row>
    <row r="182" spans="1:7" x14ac:dyDescent="0.25">
      <c r="A182" s="30">
        <v>17</v>
      </c>
      <c r="B182" s="26">
        <v>45370</v>
      </c>
      <c r="C182" s="2" t="s">
        <v>82</v>
      </c>
      <c r="D182" t="s">
        <v>181</v>
      </c>
      <c r="E182" s="1">
        <v>-7.68</v>
      </c>
      <c r="F182" s="1">
        <f t="shared" si="8"/>
        <v>12184.060000000003</v>
      </c>
      <c r="G182">
        <v>24</v>
      </c>
    </row>
    <row r="183" spans="1:7" x14ac:dyDescent="0.25">
      <c r="A183" s="30">
        <v>19</v>
      </c>
      <c r="B183" s="26">
        <v>45370</v>
      </c>
      <c r="C183" s="2" t="s">
        <v>82</v>
      </c>
      <c r="D183" t="s">
        <v>392</v>
      </c>
      <c r="E183" s="1">
        <v>-540</v>
      </c>
      <c r="F183" s="1">
        <f t="shared" si="8"/>
        <v>11644.060000000003</v>
      </c>
      <c r="G183">
        <v>25</v>
      </c>
    </row>
    <row r="184" spans="1:7" x14ac:dyDescent="0.25">
      <c r="A184" s="30">
        <v>18</v>
      </c>
      <c r="B184" s="26">
        <v>45370</v>
      </c>
      <c r="C184" s="2" t="s">
        <v>82</v>
      </c>
      <c r="D184" t="s">
        <v>182</v>
      </c>
      <c r="E184" s="1">
        <v>-60</v>
      </c>
      <c r="F184" s="1">
        <f t="shared" si="8"/>
        <v>11584.060000000003</v>
      </c>
    </row>
    <row r="185" spans="1:7" x14ac:dyDescent="0.25">
      <c r="A185" s="30">
        <v>1</v>
      </c>
      <c r="B185" s="26">
        <v>45373</v>
      </c>
      <c r="C185" s="2" t="s">
        <v>80</v>
      </c>
      <c r="D185" t="s">
        <v>14</v>
      </c>
      <c r="E185" s="1">
        <v>60</v>
      </c>
      <c r="F185" s="1">
        <f t="shared" si="8"/>
        <v>11644.060000000003</v>
      </c>
    </row>
    <row r="186" spans="1:7" x14ac:dyDescent="0.25">
      <c r="A186" s="30">
        <v>1</v>
      </c>
      <c r="B186" s="26">
        <v>45373</v>
      </c>
      <c r="C186" s="2" t="s">
        <v>80</v>
      </c>
      <c r="D186" t="s">
        <v>92</v>
      </c>
      <c r="E186" s="1">
        <v>15</v>
      </c>
      <c r="F186" s="1">
        <f t="shared" si="8"/>
        <v>11659.060000000003</v>
      </c>
    </row>
    <row r="187" spans="1:7" x14ac:dyDescent="0.25">
      <c r="A187" s="30">
        <v>11</v>
      </c>
      <c r="B187" s="26">
        <v>45373</v>
      </c>
      <c r="C187" s="2" t="s">
        <v>8</v>
      </c>
      <c r="D187" t="s">
        <v>12</v>
      </c>
      <c r="E187" s="1">
        <v>-43.9</v>
      </c>
      <c r="F187" s="1">
        <f t="shared" si="8"/>
        <v>11615.160000000003</v>
      </c>
      <c r="G187" t="s">
        <v>75</v>
      </c>
    </row>
    <row r="188" spans="1:7" x14ac:dyDescent="0.25">
      <c r="A188" s="30">
        <v>1</v>
      </c>
      <c r="B188" s="26">
        <v>45376</v>
      </c>
      <c r="C188" s="2" t="s">
        <v>83</v>
      </c>
      <c r="D188" t="s">
        <v>117</v>
      </c>
      <c r="E188" s="1">
        <v>25</v>
      </c>
      <c r="F188" s="1">
        <f t="shared" si="8"/>
        <v>11640.160000000003</v>
      </c>
    </row>
    <row r="189" spans="1:7" x14ac:dyDescent="0.25">
      <c r="A189" s="30">
        <v>15</v>
      </c>
      <c r="B189" s="26">
        <v>45376</v>
      </c>
      <c r="C189" s="2" t="s">
        <v>82</v>
      </c>
      <c r="D189" t="s">
        <v>116</v>
      </c>
      <c r="E189" s="1">
        <v>-612.5</v>
      </c>
      <c r="F189" s="1">
        <f t="shared" si="8"/>
        <v>11027.660000000003</v>
      </c>
      <c r="G189">
        <v>27</v>
      </c>
    </row>
    <row r="190" spans="1:7" x14ac:dyDescent="0.25">
      <c r="A190" s="30">
        <v>10</v>
      </c>
      <c r="B190" s="26">
        <v>45378</v>
      </c>
      <c r="C190" s="2" t="s">
        <v>8</v>
      </c>
      <c r="D190" t="s">
        <v>10</v>
      </c>
      <c r="E190" s="1">
        <v>-12.5</v>
      </c>
      <c r="F190" s="1">
        <f t="shared" si="8"/>
        <v>11015.160000000003</v>
      </c>
      <c r="G190" t="s">
        <v>75</v>
      </c>
    </row>
    <row r="191" spans="1:7" x14ac:dyDescent="0.25">
      <c r="A191" s="30">
        <v>1</v>
      </c>
      <c r="B191" s="26">
        <v>45379</v>
      </c>
      <c r="C191" s="2" t="s">
        <v>83</v>
      </c>
      <c r="D191" t="s">
        <v>15</v>
      </c>
      <c r="E191" s="1">
        <v>550</v>
      </c>
      <c r="F191" s="1">
        <f t="shared" si="8"/>
        <v>11565.160000000003</v>
      </c>
    </row>
    <row r="192" spans="1:7" x14ac:dyDescent="0.25">
      <c r="A192" s="30">
        <v>1</v>
      </c>
      <c r="B192" s="26">
        <v>45384</v>
      </c>
      <c r="C192" s="2" t="s">
        <v>83</v>
      </c>
      <c r="D192" t="s">
        <v>117</v>
      </c>
      <c r="E192" s="1">
        <v>25</v>
      </c>
      <c r="F192" s="1">
        <f t="shared" ref="F192:F223" si="9">F191+E192</f>
        <v>11590.160000000003</v>
      </c>
    </row>
    <row r="193" spans="1:8" x14ac:dyDescent="0.25">
      <c r="A193" s="30">
        <v>1</v>
      </c>
      <c r="B193" s="26">
        <v>45384</v>
      </c>
      <c r="C193" s="2" t="s">
        <v>80</v>
      </c>
      <c r="D193" t="s">
        <v>95</v>
      </c>
      <c r="E193" s="1">
        <v>75</v>
      </c>
      <c r="F193" s="1">
        <f t="shared" si="9"/>
        <v>11665.160000000003</v>
      </c>
    </row>
    <row r="194" spans="1:8" x14ac:dyDescent="0.25">
      <c r="A194" s="30">
        <v>1</v>
      </c>
      <c r="B194" s="26">
        <v>45384</v>
      </c>
      <c r="C194" s="2" t="s">
        <v>80</v>
      </c>
      <c r="D194" t="s">
        <v>92</v>
      </c>
      <c r="E194" s="1">
        <v>15</v>
      </c>
      <c r="F194" s="1">
        <f t="shared" si="9"/>
        <v>11680.160000000003</v>
      </c>
    </row>
    <row r="195" spans="1:8" x14ac:dyDescent="0.25">
      <c r="A195" s="30">
        <v>1</v>
      </c>
      <c r="B195" s="26">
        <v>45384</v>
      </c>
      <c r="C195" s="2" t="s">
        <v>80</v>
      </c>
      <c r="D195" t="s">
        <v>106</v>
      </c>
      <c r="E195" s="1">
        <v>250</v>
      </c>
      <c r="F195" s="1">
        <f t="shared" si="9"/>
        <v>11930.160000000003</v>
      </c>
    </row>
    <row r="196" spans="1:8" x14ac:dyDescent="0.25">
      <c r="A196" s="30">
        <v>1</v>
      </c>
      <c r="B196" s="26">
        <v>45384</v>
      </c>
      <c r="C196" s="2" t="s">
        <v>80</v>
      </c>
      <c r="D196" t="s">
        <v>90</v>
      </c>
      <c r="E196" s="1">
        <v>90</v>
      </c>
      <c r="F196" s="1">
        <f t="shared" si="9"/>
        <v>12020.160000000003</v>
      </c>
    </row>
    <row r="197" spans="1:8" x14ac:dyDescent="0.25">
      <c r="A197" s="30">
        <v>19</v>
      </c>
      <c r="B197" s="26">
        <v>45384</v>
      </c>
      <c r="C197" s="2" t="s">
        <v>82</v>
      </c>
      <c r="D197" t="s">
        <v>183</v>
      </c>
      <c r="E197" s="1">
        <v>-17.98</v>
      </c>
      <c r="F197" s="1">
        <f t="shared" si="9"/>
        <v>12002.180000000004</v>
      </c>
      <c r="G197">
        <v>29</v>
      </c>
    </row>
    <row r="198" spans="1:8" x14ac:dyDescent="0.25">
      <c r="A198" s="30">
        <v>21</v>
      </c>
      <c r="B198" s="26">
        <v>45384</v>
      </c>
      <c r="C198" s="2" t="s">
        <v>82</v>
      </c>
      <c r="D198" t="s">
        <v>184</v>
      </c>
      <c r="E198" s="1">
        <v>-23.79</v>
      </c>
      <c r="F198" s="1">
        <f t="shared" si="9"/>
        <v>11978.390000000003</v>
      </c>
      <c r="G198">
        <v>30</v>
      </c>
    </row>
    <row r="199" spans="1:8" x14ac:dyDescent="0.25">
      <c r="A199" s="30">
        <v>23</v>
      </c>
      <c r="B199" s="26">
        <v>45384</v>
      </c>
      <c r="C199" s="2" t="s">
        <v>8</v>
      </c>
      <c r="D199" t="s">
        <v>142</v>
      </c>
      <c r="E199" s="1">
        <v>-28.52</v>
      </c>
      <c r="F199" s="1">
        <f t="shared" si="9"/>
        <v>11949.870000000003</v>
      </c>
      <c r="G199">
        <v>28</v>
      </c>
    </row>
    <row r="200" spans="1:8" x14ac:dyDescent="0.25">
      <c r="A200" s="30">
        <v>1</v>
      </c>
      <c r="B200" s="26">
        <v>45386</v>
      </c>
      <c r="C200" s="2" t="s">
        <v>83</v>
      </c>
      <c r="D200" t="s">
        <v>185</v>
      </c>
      <c r="E200" s="1">
        <v>55</v>
      </c>
      <c r="F200" s="1">
        <f t="shared" si="9"/>
        <v>12004.870000000003</v>
      </c>
      <c r="H200" t="s">
        <v>518</v>
      </c>
    </row>
    <row r="201" spans="1:8" x14ac:dyDescent="0.25">
      <c r="A201" s="30">
        <v>1</v>
      </c>
      <c r="B201" s="26">
        <v>45390</v>
      </c>
      <c r="C201" s="2" t="s">
        <v>83</v>
      </c>
      <c r="D201" t="s">
        <v>117</v>
      </c>
      <c r="E201" s="1">
        <v>25</v>
      </c>
      <c r="F201" s="1">
        <f t="shared" si="9"/>
        <v>12029.870000000003</v>
      </c>
    </row>
    <row r="202" spans="1:8" x14ac:dyDescent="0.25">
      <c r="A202" s="30">
        <v>16</v>
      </c>
      <c r="B202" s="26">
        <v>45391</v>
      </c>
      <c r="C202" s="2" t="s">
        <v>8</v>
      </c>
      <c r="D202" t="s">
        <v>11</v>
      </c>
      <c r="E202" s="1">
        <v>-29.12</v>
      </c>
      <c r="F202" s="1">
        <f t="shared" si="9"/>
        <v>12000.750000000002</v>
      </c>
      <c r="G202" t="s">
        <v>75</v>
      </c>
    </row>
    <row r="203" spans="1:8" x14ac:dyDescent="0.25">
      <c r="A203" s="30">
        <v>22</v>
      </c>
      <c r="B203" s="26">
        <v>45392</v>
      </c>
      <c r="C203" s="2" t="s">
        <v>82</v>
      </c>
      <c r="D203" t="s">
        <v>186</v>
      </c>
      <c r="E203" s="1">
        <v>-244.51</v>
      </c>
      <c r="F203" s="1">
        <f t="shared" si="9"/>
        <v>11756.240000000002</v>
      </c>
      <c r="G203">
        <v>31</v>
      </c>
    </row>
    <row r="204" spans="1:8" x14ac:dyDescent="0.25">
      <c r="A204" s="30">
        <v>19</v>
      </c>
      <c r="B204" s="26">
        <v>45392</v>
      </c>
      <c r="C204" s="2" t="s">
        <v>82</v>
      </c>
      <c r="D204" t="s">
        <v>111</v>
      </c>
      <c r="E204" s="1">
        <v>-54</v>
      </c>
      <c r="F204" s="1">
        <f t="shared" si="9"/>
        <v>11702.240000000002</v>
      </c>
      <c r="G204">
        <v>32</v>
      </c>
    </row>
    <row r="205" spans="1:8" x14ac:dyDescent="0.25">
      <c r="A205" s="30">
        <v>25</v>
      </c>
      <c r="B205" s="26">
        <v>45392</v>
      </c>
      <c r="C205" s="2" t="s">
        <v>82</v>
      </c>
      <c r="D205" t="s">
        <v>187</v>
      </c>
      <c r="E205" s="1">
        <v>-80</v>
      </c>
      <c r="F205" s="1">
        <f t="shared" si="9"/>
        <v>11622.240000000002</v>
      </c>
      <c r="G205">
        <v>33</v>
      </c>
    </row>
    <row r="206" spans="1:8" x14ac:dyDescent="0.25">
      <c r="A206" s="30">
        <v>17</v>
      </c>
      <c r="B206" s="26">
        <v>45392</v>
      </c>
      <c r="C206" s="2" t="s">
        <v>82</v>
      </c>
      <c r="D206" t="s">
        <v>188</v>
      </c>
      <c r="E206" s="1">
        <v>-3</v>
      </c>
      <c r="F206" s="1">
        <f t="shared" si="9"/>
        <v>11619.240000000002</v>
      </c>
      <c r="G206">
        <v>34</v>
      </c>
    </row>
    <row r="207" spans="1:8" x14ac:dyDescent="0.25">
      <c r="A207" s="30">
        <v>1</v>
      </c>
      <c r="B207" s="26">
        <v>45393</v>
      </c>
      <c r="C207" s="2" t="s">
        <v>80</v>
      </c>
      <c r="D207" t="s">
        <v>94</v>
      </c>
      <c r="E207" s="1">
        <v>95</v>
      </c>
      <c r="F207" s="1">
        <f t="shared" si="9"/>
        <v>11714.240000000002</v>
      </c>
    </row>
    <row r="208" spans="1:8" x14ac:dyDescent="0.25">
      <c r="A208" s="30">
        <v>1</v>
      </c>
      <c r="B208" s="26">
        <v>45393</v>
      </c>
      <c r="C208" s="2" t="s">
        <v>80</v>
      </c>
      <c r="D208" t="s">
        <v>94</v>
      </c>
      <c r="E208" s="1">
        <v>85</v>
      </c>
      <c r="F208" s="1">
        <f t="shared" si="9"/>
        <v>11799.240000000002</v>
      </c>
    </row>
    <row r="209" spans="1:7" x14ac:dyDescent="0.25">
      <c r="A209" s="30">
        <v>1</v>
      </c>
      <c r="B209" s="26">
        <v>45394</v>
      </c>
      <c r="C209" s="2" t="s">
        <v>83</v>
      </c>
      <c r="D209" t="s">
        <v>91</v>
      </c>
      <c r="E209" s="1">
        <v>45</v>
      </c>
      <c r="F209" s="1">
        <f t="shared" si="9"/>
        <v>11844.240000000002</v>
      </c>
    </row>
    <row r="210" spans="1:7" x14ac:dyDescent="0.25">
      <c r="A210" s="30">
        <v>1</v>
      </c>
      <c r="B210" s="26">
        <v>45394</v>
      </c>
      <c r="C210" s="2" t="s">
        <v>83</v>
      </c>
      <c r="D210" t="s">
        <v>86</v>
      </c>
      <c r="E210" s="1">
        <v>130</v>
      </c>
      <c r="F210" s="1">
        <f t="shared" si="9"/>
        <v>11974.240000000002</v>
      </c>
    </row>
    <row r="211" spans="1:7" x14ac:dyDescent="0.25">
      <c r="A211" s="30">
        <v>1</v>
      </c>
      <c r="B211" s="26">
        <v>45397</v>
      </c>
      <c r="C211" s="2" t="s">
        <v>80</v>
      </c>
      <c r="D211" t="s">
        <v>89</v>
      </c>
      <c r="E211" s="1">
        <v>150</v>
      </c>
      <c r="F211" s="1">
        <f t="shared" si="9"/>
        <v>12124.240000000002</v>
      </c>
    </row>
    <row r="212" spans="1:7" x14ac:dyDescent="0.25">
      <c r="A212" s="30">
        <v>1</v>
      </c>
      <c r="B212" s="26">
        <v>45397</v>
      </c>
      <c r="C212" s="2" t="s">
        <v>83</v>
      </c>
      <c r="D212" t="s">
        <v>117</v>
      </c>
      <c r="E212" s="1">
        <v>25</v>
      </c>
      <c r="F212" s="1">
        <f t="shared" si="9"/>
        <v>12149.240000000002</v>
      </c>
    </row>
    <row r="213" spans="1:7" x14ac:dyDescent="0.25">
      <c r="A213" s="30">
        <v>1</v>
      </c>
      <c r="B213" s="26">
        <v>45401</v>
      </c>
      <c r="C213" s="2" t="s">
        <v>83</v>
      </c>
      <c r="D213" t="s">
        <v>104</v>
      </c>
      <c r="E213" s="1">
        <v>100</v>
      </c>
      <c r="F213" s="1">
        <f t="shared" si="9"/>
        <v>12249.240000000002</v>
      </c>
    </row>
    <row r="214" spans="1:7" x14ac:dyDescent="0.25">
      <c r="A214" s="30">
        <v>1</v>
      </c>
      <c r="B214" s="26">
        <v>45401</v>
      </c>
      <c r="C214" s="2" t="s">
        <v>80</v>
      </c>
      <c r="D214" t="s">
        <v>92</v>
      </c>
      <c r="E214" s="1">
        <v>15</v>
      </c>
      <c r="F214" s="1">
        <f t="shared" si="9"/>
        <v>12264.240000000002</v>
      </c>
    </row>
    <row r="215" spans="1:7" x14ac:dyDescent="0.25">
      <c r="A215" s="30">
        <v>1</v>
      </c>
      <c r="B215" s="26">
        <v>45404</v>
      </c>
      <c r="C215" s="2" t="s">
        <v>83</v>
      </c>
      <c r="D215" t="s">
        <v>117</v>
      </c>
      <c r="E215" s="1">
        <v>25</v>
      </c>
      <c r="F215" s="1">
        <f t="shared" si="9"/>
        <v>12289.240000000002</v>
      </c>
    </row>
    <row r="216" spans="1:7" x14ac:dyDescent="0.25">
      <c r="A216" s="30">
        <v>1</v>
      </c>
      <c r="B216" s="26">
        <v>45404</v>
      </c>
      <c r="C216" s="2" t="s">
        <v>83</v>
      </c>
      <c r="D216" t="s">
        <v>153</v>
      </c>
      <c r="E216" s="1">
        <v>60</v>
      </c>
      <c r="F216" s="1">
        <f t="shared" si="9"/>
        <v>12349.240000000002</v>
      </c>
    </row>
    <row r="217" spans="1:7" x14ac:dyDescent="0.25">
      <c r="A217" s="30">
        <v>1</v>
      </c>
      <c r="B217" s="26">
        <v>45404</v>
      </c>
      <c r="C217" s="2" t="s">
        <v>83</v>
      </c>
      <c r="D217" t="s">
        <v>93</v>
      </c>
      <c r="E217" s="1">
        <v>15</v>
      </c>
      <c r="F217" s="1">
        <f t="shared" si="9"/>
        <v>12364.240000000002</v>
      </c>
    </row>
    <row r="218" spans="1:7" x14ac:dyDescent="0.25">
      <c r="A218" s="30">
        <v>1</v>
      </c>
      <c r="B218" s="26">
        <v>45404</v>
      </c>
      <c r="C218" s="2" t="s">
        <v>83</v>
      </c>
      <c r="D218" t="s">
        <v>89</v>
      </c>
      <c r="E218" s="1">
        <v>65</v>
      </c>
      <c r="F218" s="1">
        <f t="shared" si="9"/>
        <v>12429.240000000002</v>
      </c>
    </row>
    <row r="219" spans="1:7" x14ac:dyDescent="0.25">
      <c r="A219" s="30">
        <v>1</v>
      </c>
      <c r="B219" s="26">
        <v>45405</v>
      </c>
      <c r="C219" s="2" t="s">
        <v>83</v>
      </c>
      <c r="D219" t="s">
        <v>14</v>
      </c>
      <c r="E219" s="1">
        <v>60</v>
      </c>
      <c r="F219" s="1">
        <f t="shared" si="9"/>
        <v>12489.240000000002</v>
      </c>
    </row>
    <row r="220" spans="1:7" x14ac:dyDescent="0.25">
      <c r="A220" s="30">
        <v>11</v>
      </c>
      <c r="B220" s="26">
        <v>45405</v>
      </c>
      <c r="C220" s="2" t="s">
        <v>8</v>
      </c>
      <c r="D220" t="s">
        <v>12</v>
      </c>
      <c r="E220" s="1">
        <v>-49.43</v>
      </c>
      <c r="F220" s="1">
        <f t="shared" si="9"/>
        <v>12439.810000000001</v>
      </c>
      <c r="G220" t="s">
        <v>75</v>
      </c>
    </row>
    <row r="221" spans="1:7" x14ac:dyDescent="0.25">
      <c r="A221" s="30">
        <v>15</v>
      </c>
      <c r="B221" s="26">
        <v>45408</v>
      </c>
      <c r="C221" s="2" t="s">
        <v>82</v>
      </c>
      <c r="D221" t="s">
        <v>116</v>
      </c>
      <c r="E221" s="1">
        <v>-612.5</v>
      </c>
      <c r="F221" s="1">
        <f t="shared" si="9"/>
        <v>11827.310000000001</v>
      </c>
      <c r="G221">
        <v>35</v>
      </c>
    </row>
    <row r="222" spans="1:7" x14ac:dyDescent="0.25">
      <c r="A222" s="30">
        <v>1</v>
      </c>
      <c r="B222" s="26">
        <v>45411</v>
      </c>
      <c r="C222" s="2" t="s">
        <v>83</v>
      </c>
      <c r="D222" t="s">
        <v>117</v>
      </c>
      <c r="E222" s="1">
        <v>25</v>
      </c>
      <c r="F222" s="1">
        <f t="shared" si="9"/>
        <v>11852.310000000001</v>
      </c>
    </row>
    <row r="223" spans="1:7" x14ac:dyDescent="0.25">
      <c r="A223" s="30">
        <v>4</v>
      </c>
      <c r="B223" s="26">
        <v>45411</v>
      </c>
      <c r="C223" s="2" t="s">
        <v>83</v>
      </c>
      <c r="D223" t="s">
        <v>110</v>
      </c>
      <c r="E223" s="1">
        <v>300</v>
      </c>
      <c r="F223" s="1">
        <f t="shared" si="9"/>
        <v>12152.310000000001</v>
      </c>
    </row>
    <row r="224" spans="1:7" x14ac:dyDescent="0.25">
      <c r="A224" s="30">
        <v>19</v>
      </c>
      <c r="B224" s="26">
        <v>45413</v>
      </c>
      <c r="C224" s="2" t="s">
        <v>82</v>
      </c>
      <c r="D224" t="s">
        <v>189</v>
      </c>
      <c r="E224" s="1">
        <v>-15.87</v>
      </c>
      <c r="F224" s="1">
        <f t="shared" ref="F224:F253" si="10">F223+E224</f>
        <v>12136.44</v>
      </c>
      <c r="G224">
        <v>36</v>
      </c>
    </row>
    <row r="225" spans="1:17" x14ac:dyDescent="0.25">
      <c r="A225" s="30">
        <v>23</v>
      </c>
      <c r="B225" s="26">
        <v>45413</v>
      </c>
      <c r="C225" s="2" t="s">
        <v>8</v>
      </c>
      <c r="D225" t="s">
        <v>142</v>
      </c>
      <c r="E225" s="1">
        <v>-28.52</v>
      </c>
      <c r="F225" s="1">
        <f t="shared" si="10"/>
        <v>12107.92</v>
      </c>
      <c r="G225">
        <v>28</v>
      </c>
    </row>
    <row r="226" spans="1:17" x14ac:dyDescent="0.25">
      <c r="A226" s="30">
        <v>1</v>
      </c>
      <c r="B226" s="26">
        <v>45414</v>
      </c>
      <c r="C226" s="2" t="s">
        <v>80</v>
      </c>
      <c r="D226" t="s">
        <v>92</v>
      </c>
      <c r="E226" s="1">
        <v>30</v>
      </c>
      <c r="F226" s="1">
        <f t="shared" si="10"/>
        <v>12137.92</v>
      </c>
    </row>
    <row r="227" spans="1:17" x14ac:dyDescent="0.25">
      <c r="A227" s="30">
        <v>14</v>
      </c>
      <c r="B227" s="26">
        <v>45414</v>
      </c>
      <c r="C227" s="2" t="s">
        <v>8</v>
      </c>
      <c r="D227" t="s">
        <v>108</v>
      </c>
      <c r="E227" s="1">
        <v>-411.44</v>
      </c>
      <c r="F227" s="1">
        <f t="shared" si="10"/>
        <v>11726.48</v>
      </c>
      <c r="G227">
        <v>37</v>
      </c>
    </row>
    <row r="228" spans="1:17" x14ac:dyDescent="0.25">
      <c r="A228" s="30">
        <v>1</v>
      </c>
      <c r="B228" s="26">
        <v>45419</v>
      </c>
      <c r="C228" s="2" t="s">
        <v>80</v>
      </c>
      <c r="D228" t="s">
        <v>90</v>
      </c>
      <c r="E228" s="1">
        <v>60</v>
      </c>
      <c r="F228" s="1">
        <f t="shared" si="10"/>
        <v>11786.48</v>
      </c>
    </row>
    <row r="229" spans="1:17" x14ac:dyDescent="0.25">
      <c r="A229" s="30">
        <v>1</v>
      </c>
      <c r="B229" s="26">
        <v>45419</v>
      </c>
      <c r="C229" s="2" t="s">
        <v>83</v>
      </c>
      <c r="D229" t="s">
        <v>104</v>
      </c>
      <c r="E229" s="1">
        <v>200</v>
      </c>
      <c r="F229" s="1">
        <f t="shared" si="10"/>
        <v>11986.48</v>
      </c>
    </row>
    <row r="230" spans="1:17" x14ac:dyDescent="0.25">
      <c r="A230" s="30">
        <v>1</v>
      </c>
      <c r="B230" s="26">
        <v>45419</v>
      </c>
      <c r="C230" s="2" t="s">
        <v>80</v>
      </c>
      <c r="D230" t="s">
        <v>190</v>
      </c>
      <c r="E230" s="1">
        <v>55</v>
      </c>
      <c r="F230" s="1">
        <f t="shared" si="10"/>
        <v>12041.48</v>
      </c>
      <c r="H230" t="s">
        <v>400</v>
      </c>
    </row>
    <row r="231" spans="1:17" x14ac:dyDescent="0.25">
      <c r="A231" s="30">
        <v>1</v>
      </c>
      <c r="B231" s="26">
        <v>45421</v>
      </c>
      <c r="C231" s="2" t="s">
        <v>83</v>
      </c>
      <c r="D231" t="s">
        <v>95</v>
      </c>
      <c r="E231" s="1">
        <v>120</v>
      </c>
      <c r="F231" s="1">
        <f t="shared" si="10"/>
        <v>12161.48</v>
      </c>
    </row>
    <row r="232" spans="1:17" x14ac:dyDescent="0.25">
      <c r="A232" s="30">
        <v>20</v>
      </c>
      <c r="B232" s="26">
        <v>45421</v>
      </c>
      <c r="C232" s="2" t="s">
        <v>82</v>
      </c>
      <c r="D232" t="s">
        <v>99</v>
      </c>
      <c r="E232" s="1">
        <v>-151.55000000000001</v>
      </c>
      <c r="F232" s="1">
        <f t="shared" si="10"/>
        <v>12009.93</v>
      </c>
      <c r="G232">
        <v>38</v>
      </c>
    </row>
    <row r="233" spans="1:17" x14ac:dyDescent="0.25">
      <c r="A233" s="30">
        <v>22</v>
      </c>
      <c r="B233" s="26">
        <v>45421</v>
      </c>
      <c r="C233" s="2" t="s">
        <v>82</v>
      </c>
      <c r="D233" t="s">
        <v>191</v>
      </c>
      <c r="E233" s="1">
        <v>-95.28</v>
      </c>
      <c r="F233" s="1">
        <f t="shared" si="10"/>
        <v>11914.65</v>
      </c>
      <c r="G233">
        <v>39</v>
      </c>
    </row>
    <row r="234" spans="1:17" x14ac:dyDescent="0.25">
      <c r="A234" s="30">
        <v>1</v>
      </c>
      <c r="B234" s="26">
        <v>45422</v>
      </c>
      <c r="C234" s="2" t="s">
        <v>83</v>
      </c>
      <c r="D234" t="s">
        <v>91</v>
      </c>
      <c r="E234" s="1">
        <v>45</v>
      </c>
      <c r="F234" s="1">
        <f t="shared" si="10"/>
        <v>11959.65</v>
      </c>
    </row>
    <row r="235" spans="1:17" x14ac:dyDescent="0.25">
      <c r="A235" s="30">
        <v>19</v>
      </c>
      <c r="B235" s="26">
        <v>45422</v>
      </c>
      <c r="C235" s="2" t="s">
        <v>82</v>
      </c>
      <c r="D235" t="s">
        <v>192</v>
      </c>
      <c r="E235" s="1">
        <v>-878.74</v>
      </c>
      <c r="F235" s="1">
        <f t="shared" si="10"/>
        <v>11080.91</v>
      </c>
      <c r="G235">
        <v>40</v>
      </c>
      <c r="Q235" s="26"/>
    </row>
    <row r="236" spans="1:17" x14ac:dyDescent="0.25">
      <c r="A236" s="30">
        <v>16</v>
      </c>
      <c r="B236" s="26">
        <v>45422</v>
      </c>
      <c r="C236" s="2" t="s">
        <v>8</v>
      </c>
      <c r="D236" t="s">
        <v>11</v>
      </c>
      <c r="E236" s="1">
        <v>-32.380000000000003</v>
      </c>
      <c r="F236" s="1">
        <f t="shared" si="10"/>
        <v>11048.53</v>
      </c>
      <c r="G236" t="s">
        <v>75</v>
      </c>
      <c r="Q236" s="26"/>
    </row>
    <row r="237" spans="1:17" x14ac:dyDescent="0.25">
      <c r="A237" s="30">
        <v>1</v>
      </c>
      <c r="B237" s="26">
        <v>45425</v>
      </c>
      <c r="C237" s="2" t="s">
        <v>83</v>
      </c>
      <c r="D237" t="s">
        <v>89</v>
      </c>
      <c r="E237" s="1">
        <v>50</v>
      </c>
      <c r="F237" s="1">
        <f t="shared" si="10"/>
        <v>11098.53</v>
      </c>
      <c r="Q237" s="26"/>
    </row>
    <row r="238" spans="1:17" x14ac:dyDescent="0.25">
      <c r="A238" s="30">
        <v>1</v>
      </c>
      <c r="B238" s="26">
        <v>45429</v>
      </c>
      <c r="C238" s="2" t="s">
        <v>83</v>
      </c>
      <c r="D238" t="s">
        <v>14</v>
      </c>
      <c r="E238" s="1">
        <v>60</v>
      </c>
      <c r="F238" s="1">
        <f t="shared" si="10"/>
        <v>11158.53</v>
      </c>
      <c r="Q238" s="26"/>
    </row>
    <row r="239" spans="1:17" x14ac:dyDescent="0.25">
      <c r="A239" s="30">
        <v>1</v>
      </c>
      <c r="B239" s="26">
        <v>45429</v>
      </c>
      <c r="C239" s="2" t="s">
        <v>80</v>
      </c>
      <c r="D239" t="s">
        <v>92</v>
      </c>
      <c r="E239" s="1">
        <v>15</v>
      </c>
      <c r="F239" s="1">
        <f t="shared" si="10"/>
        <v>11173.53</v>
      </c>
      <c r="Q239" s="26"/>
    </row>
    <row r="240" spans="1:17" x14ac:dyDescent="0.25">
      <c r="A240" s="30">
        <v>19</v>
      </c>
      <c r="B240" s="26">
        <v>45432</v>
      </c>
      <c r="C240" s="2" t="s">
        <v>82</v>
      </c>
      <c r="D240" t="s">
        <v>195</v>
      </c>
      <c r="E240" s="1">
        <v>-20</v>
      </c>
      <c r="F240" s="1">
        <f t="shared" si="10"/>
        <v>11153.53</v>
      </c>
      <c r="G240">
        <v>41</v>
      </c>
      <c r="Q240" s="26"/>
    </row>
    <row r="241" spans="1:17" x14ac:dyDescent="0.25">
      <c r="A241" s="30">
        <v>16</v>
      </c>
      <c r="B241" s="26">
        <v>45432</v>
      </c>
      <c r="C241" s="2" t="s">
        <v>82</v>
      </c>
      <c r="D241" t="s">
        <v>194</v>
      </c>
      <c r="E241" s="1">
        <v>-6.5</v>
      </c>
      <c r="F241" s="1">
        <f t="shared" si="10"/>
        <v>11147.03</v>
      </c>
      <c r="G241">
        <v>42</v>
      </c>
      <c r="Q241" s="26"/>
    </row>
    <row r="242" spans="1:17" x14ac:dyDescent="0.25">
      <c r="A242" s="30">
        <v>1</v>
      </c>
      <c r="B242" s="26">
        <v>45433</v>
      </c>
      <c r="C242" s="2" t="s">
        <v>83</v>
      </c>
      <c r="D242" t="s">
        <v>193</v>
      </c>
      <c r="E242" s="1">
        <v>15</v>
      </c>
      <c r="F242" s="1">
        <f t="shared" si="10"/>
        <v>11162.03</v>
      </c>
      <c r="Q242" s="26"/>
    </row>
    <row r="243" spans="1:17" x14ac:dyDescent="0.25">
      <c r="A243" s="30">
        <v>1</v>
      </c>
      <c r="B243" s="26">
        <v>45433</v>
      </c>
      <c r="C243" s="2" t="s">
        <v>83</v>
      </c>
      <c r="D243" t="s">
        <v>196</v>
      </c>
      <c r="E243" s="1">
        <v>50</v>
      </c>
      <c r="F243" s="1">
        <f t="shared" si="10"/>
        <v>11212.03</v>
      </c>
      <c r="H243" t="s">
        <v>400</v>
      </c>
      <c r="Q243" s="26"/>
    </row>
    <row r="244" spans="1:17" x14ac:dyDescent="0.25">
      <c r="A244" s="30">
        <v>11</v>
      </c>
      <c r="B244" s="26">
        <v>45434</v>
      </c>
      <c r="C244" s="2" t="s">
        <v>8</v>
      </c>
      <c r="D244" t="s">
        <v>12</v>
      </c>
      <c r="E244" s="1">
        <v>-55.29</v>
      </c>
      <c r="F244" s="1">
        <f t="shared" si="10"/>
        <v>11156.74</v>
      </c>
      <c r="G244" t="s">
        <v>75</v>
      </c>
    </row>
    <row r="245" spans="1:17" x14ac:dyDescent="0.25">
      <c r="A245" s="30">
        <v>25</v>
      </c>
      <c r="B245" s="26">
        <v>45434</v>
      </c>
      <c r="C245" s="2" t="s">
        <v>82</v>
      </c>
      <c r="D245" t="s">
        <v>187</v>
      </c>
      <c r="E245" s="1">
        <v>-40</v>
      </c>
      <c r="F245" s="1">
        <f t="shared" si="10"/>
        <v>11116.74</v>
      </c>
      <c r="G245">
        <v>43</v>
      </c>
    </row>
    <row r="246" spans="1:17" x14ac:dyDescent="0.25">
      <c r="A246" s="30">
        <v>20</v>
      </c>
      <c r="B246" s="26">
        <v>45434</v>
      </c>
      <c r="C246" s="2" t="s">
        <v>82</v>
      </c>
      <c r="D246" t="s">
        <v>197</v>
      </c>
      <c r="E246" s="1">
        <v>-10.38</v>
      </c>
      <c r="F246" s="1">
        <f t="shared" si="10"/>
        <v>11106.36</v>
      </c>
      <c r="G246">
        <v>44</v>
      </c>
    </row>
    <row r="247" spans="1:17" x14ac:dyDescent="0.25">
      <c r="A247" s="30">
        <v>16</v>
      </c>
      <c r="B247" s="26">
        <v>45434</v>
      </c>
      <c r="C247" s="2" t="s">
        <v>82</v>
      </c>
      <c r="D247" t="s">
        <v>194</v>
      </c>
      <c r="E247" s="1">
        <v>-9.6</v>
      </c>
      <c r="F247" s="1">
        <f t="shared" si="10"/>
        <v>11096.76</v>
      </c>
      <c r="G247">
        <v>45</v>
      </c>
    </row>
    <row r="248" spans="1:17" x14ac:dyDescent="0.25">
      <c r="A248" s="30">
        <v>1</v>
      </c>
      <c r="B248" s="26">
        <v>45435</v>
      </c>
      <c r="C248" s="2" t="s">
        <v>83</v>
      </c>
      <c r="D248" t="s">
        <v>198</v>
      </c>
      <c r="E248" s="1">
        <v>455</v>
      </c>
      <c r="F248" s="1">
        <f t="shared" si="10"/>
        <v>11551.76</v>
      </c>
    </row>
    <row r="249" spans="1:17" x14ac:dyDescent="0.25">
      <c r="A249" s="30">
        <v>12</v>
      </c>
      <c r="B249" s="26">
        <v>45440</v>
      </c>
      <c r="C249" s="2" t="s">
        <v>83</v>
      </c>
      <c r="D249" t="s">
        <v>201</v>
      </c>
      <c r="E249" s="1">
        <v>1000</v>
      </c>
      <c r="F249" s="1">
        <f t="shared" si="10"/>
        <v>12551.76</v>
      </c>
    </row>
    <row r="250" spans="1:17" x14ac:dyDescent="0.25">
      <c r="A250" s="30">
        <v>1</v>
      </c>
      <c r="B250" s="26">
        <v>45440</v>
      </c>
      <c r="C250" s="2" t="s">
        <v>83</v>
      </c>
      <c r="D250" t="s">
        <v>153</v>
      </c>
      <c r="E250" s="1">
        <v>120</v>
      </c>
      <c r="F250" s="1">
        <f t="shared" si="10"/>
        <v>12671.76</v>
      </c>
    </row>
    <row r="251" spans="1:17" x14ac:dyDescent="0.25">
      <c r="A251" s="30">
        <v>15</v>
      </c>
      <c r="B251" s="26">
        <v>45440</v>
      </c>
      <c r="C251" s="2" t="s">
        <v>82</v>
      </c>
      <c r="D251" t="s">
        <v>202</v>
      </c>
      <c r="E251" s="1">
        <v>-612.5</v>
      </c>
      <c r="F251" s="1">
        <f t="shared" si="10"/>
        <v>12059.26</v>
      </c>
      <c r="G251">
        <v>46</v>
      </c>
    </row>
    <row r="252" spans="1:17" x14ac:dyDescent="0.25">
      <c r="A252" s="30">
        <v>1</v>
      </c>
      <c r="B252" s="26">
        <v>45441</v>
      </c>
      <c r="C252" s="2" t="s">
        <v>83</v>
      </c>
      <c r="D252" t="s">
        <v>95</v>
      </c>
      <c r="E252" s="1">
        <v>120</v>
      </c>
      <c r="F252" s="1">
        <f t="shared" si="10"/>
        <v>12179.26</v>
      </c>
    </row>
    <row r="253" spans="1:17" x14ac:dyDescent="0.25">
      <c r="A253" s="30">
        <v>19</v>
      </c>
      <c r="B253" s="26">
        <v>45443</v>
      </c>
      <c r="C253" s="2" t="s">
        <v>82</v>
      </c>
      <c r="D253" t="s">
        <v>203</v>
      </c>
      <c r="E253" s="1">
        <v>-129.46</v>
      </c>
      <c r="F253" s="1">
        <f t="shared" si="10"/>
        <v>12049.800000000001</v>
      </c>
      <c r="G253">
        <v>47</v>
      </c>
      <c r="H253" t="s">
        <v>222</v>
      </c>
      <c r="M253" s="23"/>
      <c r="N253" s="13"/>
    </row>
    <row r="254" spans="1:17" hidden="1" x14ac:dyDescent="0.25">
      <c r="E254" s="1"/>
      <c r="F254" s="1"/>
      <c r="M254" s="23">
        <v>26</v>
      </c>
      <c r="N254" s="13" t="s">
        <v>148</v>
      </c>
    </row>
    <row r="255" spans="1:17" hidden="1" x14ac:dyDescent="0.25">
      <c r="E255" s="1"/>
      <c r="F255" s="1"/>
    </row>
    <row r="256" spans="1:17" hidden="1" x14ac:dyDescent="0.25">
      <c r="E256" s="1"/>
      <c r="F256" s="1"/>
    </row>
    <row r="257" spans="5:10" hidden="1" x14ac:dyDescent="0.25">
      <c r="E257" s="1"/>
      <c r="F257" s="1"/>
    </row>
    <row r="258" spans="5:10" hidden="1" x14ac:dyDescent="0.25">
      <c r="E258" s="1"/>
      <c r="F258" s="1"/>
    </row>
    <row r="259" spans="5:10" hidden="1" x14ac:dyDescent="0.25">
      <c r="E259" s="1"/>
      <c r="F259" s="1"/>
    </row>
    <row r="260" spans="5:10" hidden="1" x14ac:dyDescent="0.25">
      <c r="E260" s="1"/>
      <c r="F260" s="1"/>
    </row>
    <row r="261" spans="5:10" hidden="1" x14ac:dyDescent="0.25">
      <c r="E261" s="1"/>
      <c r="F261" s="1"/>
    </row>
    <row r="262" spans="5:10" hidden="1" x14ac:dyDescent="0.25">
      <c r="E262" s="1"/>
      <c r="F262" s="1"/>
      <c r="J262">
        <f>10.25+28.38+56.83+34</f>
        <v>129.45999999999998</v>
      </c>
    </row>
    <row r="263" spans="5:10" hidden="1" x14ac:dyDescent="0.25">
      <c r="E263" s="1"/>
      <c r="F263" s="1"/>
    </row>
    <row r="264" spans="5:10" hidden="1" x14ac:dyDescent="0.25">
      <c r="E264" s="1"/>
      <c r="F264" s="1"/>
    </row>
    <row r="265" spans="5:10" hidden="1" x14ac:dyDescent="0.25">
      <c r="E265" s="1"/>
      <c r="F265" s="1"/>
    </row>
    <row r="266" spans="5:10" hidden="1" x14ac:dyDescent="0.25">
      <c r="E266" s="1"/>
      <c r="F266" s="1"/>
    </row>
    <row r="267" spans="5:10" hidden="1" x14ac:dyDescent="0.25">
      <c r="E267" s="1"/>
      <c r="F267" s="1"/>
    </row>
    <row r="268" spans="5:10" hidden="1" x14ac:dyDescent="0.25">
      <c r="E268" s="1"/>
      <c r="F268" s="1"/>
    </row>
    <row r="269" spans="5:10" hidden="1" x14ac:dyDescent="0.25">
      <c r="E269" s="1"/>
      <c r="F269" s="1"/>
    </row>
    <row r="270" spans="5:10" hidden="1" x14ac:dyDescent="0.25">
      <c r="E270" s="1"/>
      <c r="F270" s="1"/>
    </row>
    <row r="271" spans="5:10" hidden="1" x14ac:dyDescent="0.25">
      <c r="E271" s="1"/>
      <c r="F271" s="1"/>
    </row>
    <row r="272" spans="5:10" hidden="1" x14ac:dyDescent="0.25">
      <c r="E272" s="1"/>
      <c r="F272" s="1"/>
    </row>
    <row r="273" spans="1:19" hidden="1" x14ac:dyDescent="0.25">
      <c r="E273" s="1"/>
      <c r="F273" s="1"/>
    </row>
    <row r="274" spans="1:19" hidden="1" x14ac:dyDescent="0.25">
      <c r="E274" s="1"/>
      <c r="F274" s="1"/>
    </row>
    <row r="275" spans="1:19" hidden="1" x14ac:dyDescent="0.25">
      <c r="E275" s="1"/>
      <c r="F275" s="1"/>
    </row>
    <row r="276" spans="1:19" hidden="1" x14ac:dyDescent="0.25">
      <c r="E276" s="1"/>
      <c r="F276" s="1"/>
    </row>
    <row r="277" spans="1:19" hidden="1" x14ac:dyDescent="0.25">
      <c r="E277" s="1"/>
      <c r="F277" s="1"/>
    </row>
    <row r="278" spans="1:19" hidden="1" x14ac:dyDescent="0.25">
      <c r="E278" s="1"/>
      <c r="F278" s="1"/>
    </row>
    <row r="279" spans="1:19" hidden="1" x14ac:dyDescent="0.25">
      <c r="E279" s="1"/>
      <c r="F279" s="1"/>
    </row>
    <row r="280" spans="1:19" hidden="1" x14ac:dyDescent="0.25">
      <c r="E280" s="1"/>
      <c r="F280" s="1"/>
    </row>
    <row r="281" spans="1:19" hidden="1" x14ac:dyDescent="0.25">
      <c r="E281" s="1"/>
      <c r="F281" s="1"/>
    </row>
    <row r="282" spans="1:19" hidden="1" x14ac:dyDescent="0.25">
      <c r="E282" s="1"/>
      <c r="F282" s="1"/>
    </row>
    <row r="283" spans="1:19" hidden="1" x14ac:dyDescent="0.25">
      <c r="E283" s="1"/>
      <c r="F283" s="1"/>
    </row>
    <row r="284" spans="1:19" x14ac:dyDescent="0.25">
      <c r="A284" s="30">
        <v>1</v>
      </c>
      <c r="B284" s="26">
        <v>45446</v>
      </c>
      <c r="C284" s="2" t="s">
        <v>80</v>
      </c>
      <c r="D284" t="s">
        <v>92</v>
      </c>
      <c r="E284" s="1">
        <v>30</v>
      </c>
      <c r="F284" s="1">
        <f>F253+E284</f>
        <v>12079.800000000001</v>
      </c>
    </row>
    <row r="285" spans="1:19" x14ac:dyDescent="0.25">
      <c r="A285" s="30">
        <v>24</v>
      </c>
      <c r="B285" s="26">
        <v>45446</v>
      </c>
      <c r="C285" s="2" t="s">
        <v>82</v>
      </c>
      <c r="D285" t="s">
        <v>100</v>
      </c>
      <c r="E285" s="1">
        <v>-162</v>
      </c>
      <c r="F285" s="1">
        <f>F284+E285</f>
        <v>11917.800000000001</v>
      </c>
      <c r="G285">
        <v>48</v>
      </c>
    </row>
    <row r="286" spans="1:19" x14ac:dyDescent="0.25">
      <c r="A286" s="30">
        <v>23</v>
      </c>
      <c r="B286" s="26">
        <v>45446</v>
      </c>
      <c r="C286" s="2" t="s">
        <v>8</v>
      </c>
      <c r="D286" t="s">
        <v>142</v>
      </c>
      <c r="E286" s="1">
        <v>-28.52</v>
      </c>
      <c r="F286" s="1">
        <f>F285+E286</f>
        <v>11889.28</v>
      </c>
      <c r="G286">
        <v>28</v>
      </c>
    </row>
    <row r="287" spans="1:19" x14ac:dyDescent="0.25">
      <c r="A287" s="30">
        <v>14</v>
      </c>
      <c r="B287" s="26">
        <v>45446</v>
      </c>
      <c r="C287" s="2" t="s">
        <v>8</v>
      </c>
      <c r="D287" t="s">
        <v>108</v>
      </c>
      <c r="E287" s="1">
        <v>-316.36</v>
      </c>
      <c r="F287" s="1">
        <f>F286+E287</f>
        <v>11572.92</v>
      </c>
      <c r="G287">
        <v>49</v>
      </c>
    </row>
    <row r="288" spans="1:19" x14ac:dyDescent="0.25">
      <c r="A288" s="30">
        <v>1</v>
      </c>
      <c r="B288" s="26">
        <v>45447</v>
      </c>
      <c r="C288" s="2" t="s">
        <v>83</v>
      </c>
      <c r="D288" t="s">
        <v>89</v>
      </c>
      <c r="E288" s="1">
        <v>25</v>
      </c>
      <c r="F288" s="1">
        <f t="shared" ref="F288:F351" si="11">F287+E288</f>
        <v>11597.92</v>
      </c>
      <c r="Q288" s="26">
        <v>45443</v>
      </c>
      <c r="R288" t="s">
        <v>111</v>
      </c>
      <c r="S288" s="1">
        <v>-10.25</v>
      </c>
    </row>
    <row r="289" spans="1:21" x14ac:dyDescent="0.25">
      <c r="A289" s="30">
        <v>1</v>
      </c>
      <c r="B289" s="26">
        <v>45447</v>
      </c>
      <c r="C289" s="2" t="s">
        <v>83</v>
      </c>
      <c r="D289" t="s">
        <v>87</v>
      </c>
      <c r="E289" s="1">
        <v>70</v>
      </c>
      <c r="F289" s="1">
        <f t="shared" si="11"/>
        <v>11667.92</v>
      </c>
      <c r="Q289" s="26">
        <v>45443</v>
      </c>
      <c r="R289" t="s">
        <v>111</v>
      </c>
      <c r="S289" s="1">
        <v>-34</v>
      </c>
    </row>
    <row r="290" spans="1:21" x14ac:dyDescent="0.25">
      <c r="A290" s="30">
        <v>1</v>
      </c>
      <c r="B290" s="26">
        <v>45447</v>
      </c>
      <c r="C290" s="2" t="s">
        <v>83</v>
      </c>
      <c r="D290" t="s">
        <v>90</v>
      </c>
      <c r="E290" s="1">
        <v>105</v>
      </c>
      <c r="F290" s="1">
        <f t="shared" si="11"/>
        <v>11772.92</v>
      </c>
      <c r="R290" t="s">
        <v>111</v>
      </c>
      <c r="S290" s="1">
        <v>-28.38</v>
      </c>
    </row>
    <row r="291" spans="1:21" x14ac:dyDescent="0.25">
      <c r="A291" s="30">
        <v>12</v>
      </c>
      <c r="B291" s="26">
        <v>45447</v>
      </c>
      <c r="C291" s="2" t="s">
        <v>82</v>
      </c>
      <c r="D291" t="s">
        <v>84</v>
      </c>
      <c r="E291" s="1">
        <v>-3806.54</v>
      </c>
      <c r="F291" s="1">
        <f t="shared" si="11"/>
        <v>7966.38</v>
      </c>
      <c r="G291">
        <v>50</v>
      </c>
      <c r="M291">
        <f>1812/8</f>
        <v>226.5</v>
      </c>
    </row>
    <row r="292" spans="1:21" x14ac:dyDescent="0.25">
      <c r="A292" s="30">
        <v>19</v>
      </c>
      <c r="B292" s="26">
        <v>45449</v>
      </c>
      <c r="C292" s="2" t="s">
        <v>82</v>
      </c>
      <c r="D292" t="s">
        <v>111</v>
      </c>
      <c r="E292" s="1">
        <v>-80.680000000000007</v>
      </c>
      <c r="F292" s="1">
        <f t="shared" si="11"/>
        <v>7885.7</v>
      </c>
      <c r="G292">
        <v>51</v>
      </c>
      <c r="M292">
        <f>1510/8</f>
        <v>188.75</v>
      </c>
    </row>
    <row r="293" spans="1:21" x14ac:dyDescent="0.25">
      <c r="A293" s="30">
        <v>19</v>
      </c>
      <c r="B293" s="26">
        <v>45449</v>
      </c>
      <c r="C293" s="2" t="s">
        <v>82</v>
      </c>
      <c r="D293" t="s">
        <v>207</v>
      </c>
      <c r="E293" s="1">
        <v>-10</v>
      </c>
      <c r="F293" s="1">
        <f t="shared" si="11"/>
        <v>7875.7</v>
      </c>
      <c r="G293">
        <v>52</v>
      </c>
      <c r="M293">
        <v>1410</v>
      </c>
      <c r="O293" t="s">
        <v>224</v>
      </c>
    </row>
    <row r="294" spans="1:21" x14ac:dyDescent="0.25">
      <c r="A294" s="30">
        <v>21</v>
      </c>
      <c r="B294" s="26">
        <v>45449</v>
      </c>
      <c r="C294" s="2" t="s">
        <v>82</v>
      </c>
      <c r="D294" t="s">
        <v>208</v>
      </c>
      <c r="E294" s="1">
        <v>-28.45</v>
      </c>
      <c r="F294" s="1">
        <f t="shared" si="11"/>
        <v>7847.25</v>
      </c>
      <c r="G294">
        <v>53</v>
      </c>
    </row>
    <row r="295" spans="1:21" x14ac:dyDescent="0.25">
      <c r="A295" s="30">
        <v>1</v>
      </c>
      <c r="B295" s="26">
        <v>45449</v>
      </c>
      <c r="C295" s="2" t="s">
        <v>85</v>
      </c>
      <c r="D295" t="s">
        <v>221</v>
      </c>
      <c r="E295" s="1">
        <v>30</v>
      </c>
      <c r="F295" s="1">
        <f t="shared" si="11"/>
        <v>7877.25</v>
      </c>
    </row>
    <row r="296" spans="1:21" x14ac:dyDescent="0.25">
      <c r="A296" s="30">
        <v>1</v>
      </c>
      <c r="B296" s="26">
        <v>45453</v>
      </c>
      <c r="C296" s="2" t="s">
        <v>80</v>
      </c>
      <c r="D296" t="s">
        <v>92</v>
      </c>
      <c r="E296" s="1">
        <v>15</v>
      </c>
      <c r="F296" s="1">
        <f t="shared" si="11"/>
        <v>7892.25</v>
      </c>
    </row>
    <row r="297" spans="1:21" x14ac:dyDescent="0.25">
      <c r="A297" s="30">
        <v>16</v>
      </c>
      <c r="B297" s="26">
        <v>45453</v>
      </c>
      <c r="C297" s="2" t="s">
        <v>8</v>
      </c>
      <c r="D297" t="s">
        <v>11</v>
      </c>
      <c r="E297" s="1">
        <v>-32.380000000000003</v>
      </c>
      <c r="F297" s="1">
        <f t="shared" si="11"/>
        <v>7859.87</v>
      </c>
      <c r="G297" t="s">
        <v>75</v>
      </c>
      <c r="O297" s="22" t="s">
        <v>214</v>
      </c>
      <c r="P297" t="s">
        <v>215</v>
      </c>
    </row>
    <row r="298" spans="1:21" x14ac:dyDescent="0.25">
      <c r="A298" s="30">
        <v>1</v>
      </c>
      <c r="B298" s="26">
        <v>45456</v>
      </c>
      <c r="C298" s="2" t="s">
        <v>83</v>
      </c>
      <c r="D298" t="s">
        <v>104</v>
      </c>
      <c r="E298" s="1">
        <v>150</v>
      </c>
      <c r="F298" s="1">
        <f t="shared" si="11"/>
        <v>8009.87</v>
      </c>
      <c r="O298" s="22" t="s">
        <v>216</v>
      </c>
      <c r="P298" t="s">
        <v>215</v>
      </c>
    </row>
    <row r="299" spans="1:21" x14ac:dyDescent="0.25">
      <c r="A299" s="30">
        <v>1</v>
      </c>
      <c r="B299" s="26">
        <v>45457</v>
      </c>
      <c r="C299" s="2" t="s">
        <v>83</v>
      </c>
      <c r="D299" t="s">
        <v>91</v>
      </c>
      <c r="E299" s="1">
        <v>45</v>
      </c>
      <c r="F299" s="1">
        <f t="shared" si="11"/>
        <v>8054.87</v>
      </c>
      <c r="O299" s="22" t="s">
        <v>217</v>
      </c>
      <c r="P299" t="s">
        <v>218</v>
      </c>
    </row>
    <row r="300" spans="1:21" x14ac:dyDescent="0.25">
      <c r="A300" s="30">
        <v>1</v>
      </c>
      <c r="B300" s="26">
        <v>45457</v>
      </c>
      <c r="C300" s="2" t="s">
        <v>80</v>
      </c>
      <c r="D300" t="s">
        <v>209</v>
      </c>
      <c r="E300" s="1">
        <v>75</v>
      </c>
      <c r="F300" s="1">
        <f t="shared" si="11"/>
        <v>8129.87</v>
      </c>
      <c r="H300" t="s">
        <v>400</v>
      </c>
      <c r="O300" s="22" t="s">
        <v>219</v>
      </c>
      <c r="P300" t="s">
        <v>215</v>
      </c>
      <c r="T300" t="s">
        <v>77</v>
      </c>
    </row>
    <row r="301" spans="1:21" x14ac:dyDescent="0.25">
      <c r="A301" s="30">
        <v>1</v>
      </c>
      <c r="B301" s="26">
        <v>45462</v>
      </c>
      <c r="C301" s="2" t="s">
        <v>83</v>
      </c>
      <c r="D301" t="s">
        <v>153</v>
      </c>
      <c r="E301" s="1">
        <v>135</v>
      </c>
      <c r="F301" s="1">
        <f t="shared" si="11"/>
        <v>8264.869999999999</v>
      </c>
      <c r="O301" s="22"/>
      <c r="T301" s="23">
        <v>1</v>
      </c>
      <c r="U301" s="13" t="s">
        <v>17</v>
      </c>
    </row>
    <row r="302" spans="1:21" x14ac:dyDescent="0.25">
      <c r="A302" s="30">
        <v>1</v>
      </c>
      <c r="B302" s="26">
        <v>45463</v>
      </c>
      <c r="C302" s="2" t="s">
        <v>80</v>
      </c>
      <c r="D302" t="s">
        <v>107</v>
      </c>
      <c r="E302" s="1">
        <v>45</v>
      </c>
      <c r="F302" s="1">
        <f t="shared" si="11"/>
        <v>8309.869999999999</v>
      </c>
      <c r="T302" s="23">
        <v>2</v>
      </c>
      <c r="U302" s="13" t="s">
        <v>16</v>
      </c>
    </row>
    <row r="303" spans="1:21" x14ac:dyDescent="0.25">
      <c r="A303" s="30">
        <v>11</v>
      </c>
      <c r="B303" s="26">
        <v>45467</v>
      </c>
      <c r="C303" s="2" t="s">
        <v>8</v>
      </c>
      <c r="D303" t="s">
        <v>12</v>
      </c>
      <c r="E303" s="1">
        <v>-27.98</v>
      </c>
      <c r="F303" s="1">
        <f t="shared" si="11"/>
        <v>8281.89</v>
      </c>
      <c r="G303" t="s">
        <v>75</v>
      </c>
      <c r="T303" s="23">
        <v>3</v>
      </c>
      <c r="U303" s="13" t="s">
        <v>19</v>
      </c>
    </row>
    <row r="304" spans="1:21" x14ac:dyDescent="0.25">
      <c r="A304" s="30">
        <v>16</v>
      </c>
      <c r="B304" s="26">
        <v>45467</v>
      </c>
      <c r="C304" s="2" t="s">
        <v>8</v>
      </c>
      <c r="D304" t="s">
        <v>160</v>
      </c>
      <c r="E304" s="1">
        <v>-4.96</v>
      </c>
      <c r="F304" s="1">
        <f t="shared" si="11"/>
        <v>8276.93</v>
      </c>
      <c r="G304">
        <v>54</v>
      </c>
      <c r="T304" s="23">
        <v>4</v>
      </c>
      <c r="U304" s="13" t="s">
        <v>22</v>
      </c>
    </row>
    <row r="305" spans="1:21" x14ac:dyDescent="0.25">
      <c r="A305" s="30">
        <v>3</v>
      </c>
      <c r="B305" s="26">
        <v>45468</v>
      </c>
      <c r="C305" s="2" t="s">
        <v>83</v>
      </c>
      <c r="D305" t="s">
        <v>220</v>
      </c>
      <c r="E305" s="1">
        <v>9600</v>
      </c>
      <c r="F305" s="1">
        <f t="shared" si="11"/>
        <v>17876.93</v>
      </c>
      <c r="T305" s="23">
        <v>5</v>
      </c>
      <c r="U305" s="13" t="s">
        <v>36</v>
      </c>
    </row>
    <row r="306" spans="1:21" x14ac:dyDescent="0.25">
      <c r="A306" s="30">
        <v>10</v>
      </c>
      <c r="B306" s="26">
        <v>45470</v>
      </c>
      <c r="C306" s="2" t="s">
        <v>8</v>
      </c>
      <c r="D306" t="s">
        <v>10</v>
      </c>
      <c r="E306" s="1">
        <v>-12.5</v>
      </c>
      <c r="F306" s="1">
        <f t="shared" si="11"/>
        <v>17864.43</v>
      </c>
      <c r="G306" t="s">
        <v>75</v>
      </c>
      <c r="T306" s="23">
        <v>6</v>
      </c>
      <c r="U306" s="13" t="s">
        <v>24</v>
      </c>
    </row>
    <row r="307" spans="1:21" x14ac:dyDescent="0.25">
      <c r="A307" s="30">
        <v>1</v>
      </c>
      <c r="B307" s="26">
        <v>45470</v>
      </c>
      <c r="C307" s="2" t="s">
        <v>83</v>
      </c>
      <c r="D307" t="s">
        <v>95</v>
      </c>
      <c r="E307" s="1">
        <v>120</v>
      </c>
      <c r="F307" s="1">
        <f t="shared" si="11"/>
        <v>17984.43</v>
      </c>
      <c r="T307" s="23">
        <v>7</v>
      </c>
      <c r="U307" s="13" t="s">
        <v>20</v>
      </c>
    </row>
    <row r="308" spans="1:21" x14ac:dyDescent="0.25">
      <c r="A308" s="30">
        <v>18</v>
      </c>
      <c r="B308" s="26">
        <v>45470</v>
      </c>
      <c r="C308" s="2" t="s">
        <v>82</v>
      </c>
      <c r="D308" t="s">
        <v>53</v>
      </c>
      <c r="E308" s="1">
        <v>-70</v>
      </c>
      <c r="F308" s="1">
        <f t="shared" si="11"/>
        <v>17914.43</v>
      </c>
      <c r="G308">
        <v>55</v>
      </c>
      <c r="H308" t="s">
        <v>400</v>
      </c>
      <c r="T308" s="23">
        <v>8</v>
      </c>
      <c r="U308" s="13" t="s">
        <v>147</v>
      </c>
    </row>
    <row r="309" spans="1:21" x14ac:dyDescent="0.25">
      <c r="A309" s="30">
        <v>15</v>
      </c>
      <c r="B309" s="26">
        <v>45470</v>
      </c>
      <c r="C309" s="2" t="s">
        <v>82</v>
      </c>
      <c r="D309" t="s">
        <v>223</v>
      </c>
      <c r="E309" s="1">
        <v>-612.5</v>
      </c>
      <c r="F309" s="1">
        <f t="shared" si="11"/>
        <v>17301.93</v>
      </c>
      <c r="G309">
        <v>56</v>
      </c>
      <c r="T309" s="23">
        <v>10</v>
      </c>
      <c r="U309" s="13" t="s">
        <v>37</v>
      </c>
    </row>
    <row r="310" spans="1:21" x14ac:dyDescent="0.25">
      <c r="A310" s="30">
        <v>1</v>
      </c>
      <c r="B310" s="26">
        <v>45471</v>
      </c>
      <c r="C310" s="2" t="s">
        <v>80</v>
      </c>
      <c r="D310" t="s">
        <v>92</v>
      </c>
      <c r="E310" s="1">
        <v>30</v>
      </c>
      <c r="F310" s="1">
        <f t="shared" si="11"/>
        <v>17331.93</v>
      </c>
      <c r="T310" s="23">
        <v>11</v>
      </c>
      <c r="U310" s="13" t="s">
        <v>38</v>
      </c>
    </row>
    <row r="311" spans="1:21" x14ac:dyDescent="0.25">
      <c r="A311" s="30">
        <v>1</v>
      </c>
      <c r="B311" s="26">
        <v>45472</v>
      </c>
      <c r="C311" s="2" t="s">
        <v>83</v>
      </c>
      <c r="D311" t="s">
        <v>86</v>
      </c>
      <c r="E311" s="1">
        <v>215</v>
      </c>
      <c r="F311" s="1">
        <f t="shared" si="11"/>
        <v>17546.93</v>
      </c>
      <c r="T311" s="23">
        <v>12</v>
      </c>
      <c r="U311" s="13" t="s">
        <v>13</v>
      </c>
    </row>
    <row r="312" spans="1:21" x14ac:dyDescent="0.25">
      <c r="A312" s="30">
        <v>1</v>
      </c>
      <c r="B312" s="26">
        <v>45474</v>
      </c>
      <c r="C312" s="2" t="s">
        <v>80</v>
      </c>
      <c r="D312" t="s">
        <v>106</v>
      </c>
      <c r="E312" s="1">
        <v>150</v>
      </c>
      <c r="F312" s="1">
        <f t="shared" si="11"/>
        <v>17696.93</v>
      </c>
      <c r="T312" s="23">
        <v>13</v>
      </c>
      <c r="U312" s="13" t="s">
        <v>39</v>
      </c>
    </row>
    <row r="313" spans="1:21" x14ac:dyDescent="0.25">
      <c r="A313" s="30">
        <v>23</v>
      </c>
      <c r="B313" s="26">
        <v>45474</v>
      </c>
      <c r="C313" s="2" t="s">
        <v>8</v>
      </c>
      <c r="D313" t="s">
        <v>142</v>
      </c>
      <c r="E313" s="1">
        <v>-28.52</v>
      </c>
      <c r="F313" s="1">
        <f t="shared" si="11"/>
        <v>17668.41</v>
      </c>
      <c r="G313">
        <v>28</v>
      </c>
      <c r="T313" s="23">
        <v>14</v>
      </c>
      <c r="U313" s="13" t="s">
        <v>40</v>
      </c>
    </row>
    <row r="314" spans="1:21" x14ac:dyDescent="0.25">
      <c r="A314" s="30">
        <v>1</v>
      </c>
      <c r="B314" s="26">
        <v>45475</v>
      </c>
      <c r="C314" s="2" t="s">
        <v>83</v>
      </c>
      <c r="D314" t="s">
        <v>90</v>
      </c>
      <c r="E314" s="1">
        <v>105</v>
      </c>
      <c r="F314" s="1">
        <f t="shared" si="11"/>
        <v>17773.41</v>
      </c>
      <c r="T314" s="23">
        <v>15</v>
      </c>
      <c r="U314" s="13" t="s">
        <v>23</v>
      </c>
    </row>
    <row r="315" spans="1:21" x14ac:dyDescent="0.25">
      <c r="A315" s="30">
        <v>14</v>
      </c>
      <c r="B315" s="26">
        <v>45475</v>
      </c>
      <c r="C315" s="2" t="s">
        <v>8</v>
      </c>
      <c r="D315" t="s">
        <v>108</v>
      </c>
      <c r="E315" s="1">
        <v>-216.26</v>
      </c>
      <c r="F315" s="1">
        <f t="shared" si="11"/>
        <v>17557.150000000001</v>
      </c>
      <c r="G315">
        <v>57</v>
      </c>
      <c r="T315" s="23">
        <v>16</v>
      </c>
      <c r="U315" s="13" t="s">
        <v>149</v>
      </c>
    </row>
    <row r="316" spans="1:21" x14ac:dyDescent="0.25">
      <c r="A316" s="30">
        <v>1</v>
      </c>
      <c r="B316" s="26">
        <v>45481</v>
      </c>
      <c r="C316" s="2" t="s">
        <v>83</v>
      </c>
      <c r="D316" t="s">
        <v>193</v>
      </c>
      <c r="E316" s="1">
        <v>28.38</v>
      </c>
      <c r="F316" s="1">
        <f t="shared" si="11"/>
        <v>17585.530000000002</v>
      </c>
      <c r="T316" s="23">
        <v>17</v>
      </c>
      <c r="U316" s="13" t="s">
        <v>42</v>
      </c>
    </row>
    <row r="317" spans="1:21" x14ac:dyDescent="0.25">
      <c r="A317" s="30">
        <v>1</v>
      </c>
      <c r="B317" s="26">
        <v>45481</v>
      </c>
      <c r="C317" s="2" t="s">
        <v>80</v>
      </c>
      <c r="D317" t="s">
        <v>94</v>
      </c>
      <c r="E317" s="1">
        <v>85</v>
      </c>
      <c r="F317" s="1">
        <f t="shared" si="11"/>
        <v>17670.530000000002</v>
      </c>
      <c r="T317" s="23">
        <v>18</v>
      </c>
      <c r="U317" s="13" t="s">
        <v>43</v>
      </c>
    </row>
    <row r="318" spans="1:21" x14ac:dyDescent="0.25">
      <c r="A318" s="30">
        <v>19</v>
      </c>
      <c r="B318" s="26">
        <v>45481</v>
      </c>
      <c r="C318" s="2" t="s">
        <v>82</v>
      </c>
      <c r="D318" t="s">
        <v>192</v>
      </c>
      <c r="E318" s="1">
        <v>-1410</v>
      </c>
      <c r="F318" s="1">
        <f t="shared" si="11"/>
        <v>16260.530000000002</v>
      </c>
      <c r="G318">
        <v>58</v>
      </c>
      <c r="T318" s="23">
        <v>19</v>
      </c>
      <c r="U318" s="13" t="s">
        <v>44</v>
      </c>
    </row>
    <row r="319" spans="1:21" x14ac:dyDescent="0.25">
      <c r="A319" s="30">
        <v>19</v>
      </c>
      <c r="B319" s="26">
        <v>45481</v>
      </c>
      <c r="C319" s="2" t="s">
        <v>82</v>
      </c>
      <c r="D319" t="s">
        <v>111</v>
      </c>
      <c r="E319" s="1">
        <v>-26.44</v>
      </c>
      <c r="F319" s="1">
        <f t="shared" si="11"/>
        <v>16234.090000000002</v>
      </c>
      <c r="G319">
        <v>59</v>
      </c>
      <c r="T319" s="23">
        <v>20</v>
      </c>
      <c r="U319" s="13" t="s">
        <v>45</v>
      </c>
    </row>
    <row r="320" spans="1:21" x14ac:dyDescent="0.25">
      <c r="A320" s="30">
        <v>1</v>
      </c>
      <c r="B320" s="26">
        <v>45483</v>
      </c>
      <c r="C320" s="2" t="s">
        <v>83</v>
      </c>
      <c r="D320" t="s">
        <v>105</v>
      </c>
      <c r="E320" s="1">
        <v>50</v>
      </c>
      <c r="F320" s="1">
        <f t="shared" si="11"/>
        <v>16284.090000000002</v>
      </c>
      <c r="H320" t="s">
        <v>400</v>
      </c>
      <c r="T320" s="23">
        <v>21</v>
      </c>
      <c r="U320" s="13" t="s">
        <v>46</v>
      </c>
    </row>
    <row r="321" spans="1:21" x14ac:dyDescent="0.25">
      <c r="A321" s="30">
        <v>16</v>
      </c>
      <c r="B321" s="26">
        <v>45483</v>
      </c>
      <c r="C321" s="2" t="s">
        <v>8</v>
      </c>
      <c r="D321" t="s">
        <v>11</v>
      </c>
      <c r="E321" s="1">
        <v>-32.380000000000003</v>
      </c>
      <c r="F321" s="1">
        <f t="shared" si="11"/>
        <v>16251.710000000003</v>
      </c>
      <c r="G321" t="s">
        <v>75</v>
      </c>
      <c r="T321" s="23">
        <v>22</v>
      </c>
      <c r="U321" s="13" t="s">
        <v>47</v>
      </c>
    </row>
    <row r="322" spans="1:21" x14ac:dyDescent="0.25">
      <c r="A322" s="30">
        <v>1</v>
      </c>
      <c r="B322" s="26">
        <v>45485</v>
      </c>
      <c r="C322" s="2" t="s">
        <v>83</v>
      </c>
      <c r="D322" t="s">
        <v>91</v>
      </c>
      <c r="E322" s="1">
        <v>45</v>
      </c>
      <c r="F322" s="1">
        <f t="shared" si="11"/>
        <v>16296.710000000003</v>
      </c>
      <c r="T322" s="23">
        <v>23</v>
      </c>
      <c r="U322" s="13" t="s">
        <v>27</v>
      </c>
    </row>
    <row r="323" spans="1:21" x14ac:dyDescent="0.25">
      <c r="A323" s="30">
        <v>7</v>
      </c>
      <c r="B323" s="26">
        <v>45485</v>
      </c>
      <c r="C323" s="2" t="s">
        <v>83</v>
      </c>
      <c r="D323" t="s">
        <v>225</v>
      </c>
      <c r="E323" s="1">
        <v>49000</v>
      </c>
      <c r="F323" s="1">
        <f t="shared" si="11"/>
        <v>65296.710000000006</v>
      </c>
      <c r="T323" s="23">
        <v>24</v>
      </c>
      <c r="U323" s="13" t="s">
        <v>28</v>
      </c>
    </row>
    <row r="324" spans="1:21" x14ac:dyDescent="0.25">
      <c r="A324" s="30">
        <v>1</v>
      </c>
      <c r="B324" s="26">
        <v>45488</v>
      </c>
      <c r="C324" s="2" t="s">
        <v>80</v>
      </c>
      <c r="D324" t="s">
        <v>107</v>
      </c>
      <c r="E324" s="1">
        <v>25</v>
      </c>
      <c r="F324" s="1">
        <f t="shared" si="11"/>
        <v>65321.710000000006</v>
      </c>
      <c r="T324" s="23"/>
      <c r="U324" s="13"/>
    </row>
    <row r="325" spans="1:21" x14ac:dyDescent="0.25">
      <c r="A325" s="30">
        <v>1</v>
      </c>
      <c r="B325" s="26">
        <v>45488</v>
      </c>
      <c r="C325" s="2" t="s">
        <v>80</v>
      </c>
      <c r="D325" t="s">
        <v>92</v>
      </c>
      <c r="E325" s="1">
        <v>15</v>
      </c>
      <c r="F325" s="1">
        <f t="shared" si="11"/>
        <v>65336.710000000006</v>
      </c>
      <c r="T325" s="23">
        <v>25</v>
      </c>
      <c r="U325" s="13" t="s">
        <v>49</v>
      </c>
    </row>
    <row r="326" spans="1:21" x14ac:dyDescent="0.25">
      <c r="A326" s="30">
        <v>1</v>
      </c>
      <c r="B326" s="26">
        <v>45491</v>
      </c>
      <c r="C326" s="2" t="s">
        <v>80</v>
      </c>
      <c r="D326" t="s">
        <v>107</v>
      </c>
      <c r="E326" s="1">
        <v>60</v>
      </c>
      <c r="F326" s="1">
        <f t="shared" si="11"/>
        <v>65396.710000000006</v>
      </c>
    </row>
    <row r="327" spans="1:21" x14ac:dyDescent="0.25">
      <c r="A327" s="30">
        <v>1</v>
      </c>
      <c r="B327" s="26">
        <v>45495</v>
      </c>
      <c r="C327" s="2" t="s">
        <v>83</v>
      </c>
      <c r="D327" t="s">
        <v>95</v>
      </c>
      <c r="E327" s="1">
        <v>75</v>
      </c>
      <c r="F327" s="1">
        <f t="shared" si="11"/>
        <v>65471.710000000006</v>
      </c>
      <c r="K327">
        <f>53.04+4.89</f>
        <v>57.93</v>
      </c>
    </row>
    <row r="328" spans="1:21" x14ac:dyDescent="0.25">
      <c r="A328" s="30">
        <v>1</v>
      </c>
      <c r="B328" s="26">
        <v>45495</v>
      </c>
      <c r="C328" s="2" t="s">
        <v>83</v>
      </c>
      <c r="D328" t="s">
        <v>153</v>
      </c>
      <c r="E328" s="1">
        <v>90</v>
      </c>
      <c r="F328" s="1">
        <f t="shared" si="11"/>
        <v>65561.710000000006</v>
      </c>
    </row>
    <row r="329" spans="1:21" x14ac:dyDescent="0.25">
      <c r="A329" s="30">
        <v>1</v>
      </c>
      <c r="B329" s="26">
        <v>45495</v>
      </c>
      <c r="C329" s="2" t="s">
        <v>80</v>
      </c>
      <c r="D329" t="s">
        <v>92</v>
      </c>
      <c r="E329" s="1">
        <v>15</v>
      </c>
      <c r="F329" s="1">
        <f t="shared" si="11"/>
        <v>65576.710000000006</v>
      </c>
    </row>
    <row r="330" spans="1:21" x14ac:dyDescent="0.25">
      <c r="A330" s="30">
        <v>16</v>
      </c>
      <c r="B330" s="26">
        <v>45495</v>
      </c>
      <c r="C330" s="2" t="s">
        <v>8</v>
      </c>
      <c r="D330" t="s">
        <v>160</v>
      </c>
      <c r="E330" s="1">
        <v>-11.32</v>
      </c>
      <c r="F330" s="1">
        <f t="shared" si="11"/>
        <v>65565.39</v>
      </c>
      <c r="G330" t="s">
        <v>75</v>
      </c>
    </row>
    <row r="331" spans="1:21" x14ac:dyDescent="0.25">
      <c r="A331" s="30">
        <v>11</v>
      </c>
      <c r="B331" s="26">
        <v>45497</v>
      </c>
      <c r="C331" s="2" t="s">
        <v>8</v>
      </c>
      <c r="D331" t="s">
        <v>12</v>
      </c>
      <c r="E331" s="1">
        <v>-48.27</v>
      </c>
      <c r="F331" s="1">
        <f t="shared" si="11"/>
        <v>65517.120000000003</v>
      </c>
      <c r="G331" t="s">
        <v>75</v>
      </c>
    </row>
    <row r="332" spans="1:21" x14ac:dyDescent="0.25">
      <c r="A332" s="30">
        <v>6</v>
      </c>
      <c r="B332" s="26">
        <v>45497</v>
      </c>
      <c r="C332" s="2" t="s">
        <v>82</v>
      </c>
      <c r="D332" t="s">
        <v>69</v>
      </c>
      <c r="E332" s="1">
        <v>-40000</v>
      </c>
      <c r="F332" s="1">
        <f t="shared" si="11"/>
        <v>25517.120000000003</v>
      </c>
    </row>
    <row r="333" spans="1:21" x14ac:dyDescent="0.25">
      <c r="A333" s="30">
        <v>19</v>
      </c>
      <c r="B333" s="26">
        <v>45497</v>
      </c>
      <c r="C333" s="2" t="s">
        <v>82</v>
      </c>
      <c r="D333" t="s">
        <v>226</v>
      </c>
      <c r="E333" s="1">
        <v>-79.290000000000006</v>
      </c>
      <c r="F333" s="1">
        <f t="shared" si="11"/>
        <v>25437.83</v>
      </c>
      <c r="G333">
        <v>60</v>
      </c>
    </row>
    <row r="334" spans="1:21" x14ac:dyDescent="0.25">
      <c r="A334" s="30">
        <v>22</v>
      </c>
      <c r="B334" s="26">
        <v>45498</v>
      </c>
      <c r="C334" s="2" t="s">
        <v>82</v>
      </c>
      <c r="D334" t="s">
        <v>227</v>
      </c>
      <c r="E334" s="1">
        <v>-221.86</v>
      </c>
      <c r="F334" s="1">
        <f t="shared" si="11"/>
        <v>25215.97</v>
      </c>
      <c r="G334">
        <v>61</v>
      </c>
      <c r="Q334" t="s">
        <v>51</v>
      </c>
    </row>
    <row r="335" spans="1:21" x14ac:dyDescent="0.25">
      <c r="A335" s="30">
        <v>1</v>
      </c>
      <c r="B335" s="26">
        <v>45499</v>
      </c>
      <c r="C335" s="2" t="s">
        <v>80</v>
      </c>
      <c r="D335" t="s">
        <v>92</v>
      </c>
      <c r="E335" s="1">
        <v>15</v>
      </c>
      <c r="F335" s="1">
        <f t="shared" si="11"/>
        <v>25230.97</v>
      </c>
    </row>
    <row r="336" spans="1:21" x14ac:dyDescent="0.25">
      <c r="A336" s="30">
        <v>16</v>
      </c>
      <c r="B336" s="26">
        <v>45505</v>
      </c>
      <c r="C336" s="2" t="s">
        <v>82</v>
      </c>
      <c r="D336" t="s">
        <v>194</v>
      </c>
      <c r="E336" s="1">
        <v>-19.2</v>
      </c>
      <c r="F336" s="1">
        <f t="shared" si="11"/>
        <v>25211.77</v>
      </c>
      <c r="G336">
        <v>62</v>
      </c>
    </row>
    <row r="337" spans="1:18" x14ac:dyDescent="0.25">
      <c r="A337" s="30">
        <v>15</v>
      </c>
      <c r="B337" s="26">
        <v>45499</v>
      </c>
      <c r="C337" s="2" t="s">
        <v>82</v>
      </c>
      <c r="D337" t="s">
        <v>228</v>
      </c>
      <c r="E337" s="1">
        <v>-612.5</v>
      </c>
      <c r="F337" s="1">
        <f t="shared" si="11"/>
        <v>24599.27</v>
      </c>
      <c r="G337">
        <v>63</v>
      </c>
      <c r="Q337">
        <v>7766560965</v>
      </c>
      <c r="R337" t="s">
        <v>239</v>
      </c>
    </row>
    <row r="338" spans="1:18" x14ac:dyDescent="0.25">
      <c r="A338" s="30">
        <v>23</v>
      </c>
      <c r="B338" s="26">
        <v>45505</v>
      </c>
      <c r="C338" s="2" t="s">
        <v>8</v>
      </c>
      <c r="D338" t="s">
        <v>142</v>
      </c>
      <c r="E338" s="1">
        <v>-28.52</v>
      </c>
      <c r="F338" s="1">
        <f t="shared" si="11"/>
        <v>24570.75</v>
      </c>
      <c r="G338">
        <v>28</v>
      </c>
      <c r="L338">
        <f>221-286</f>
        <v>-65</v>
      </c>
    </row>
    <row r="339" spans="1:18" x14ac:dyDescent="0.25">
      <c r="A339" s="30">
        <v>1</v>
      </c>
      <c r="B339" s="26">
        <v>45509</v>
      </c>
      <c r="C339" s="2" t="s">
        <v>83</v>
      </c>
      <c r="D339" t="s">
        <v>104</v>
      </c>
      <c r="E339" s="1">
        <v>270</v>
      </c>
      <c r="F339" s="1">
        <f t="shared" si="11"/>
        <v>24840.75</v>
      </c>
      <c r="L339">
        <f>65/2.22</f>
        <v>29.279279279279276</v>
      </c>
    </row>
    <row r="340" spans="1:18" x14ac:dyDescent="0.25">
      <c r="A340" s="30">
        <v>1</v>
      </c>
      <c r="B340" s="26">
        <v>45509</v>
      </c>
      <c r="C340" s="2" t="s">
        <v>80</v>
      </c>
      <c r="D340" t="s">
        <v>94</v>
      </c>
      <c r="E340" s="1">
        <v>85</v>
      </c>
      <c r="F340" s="1">
        <f t="shared" si="11"/>
        <v>24925.75</v>
      </c>
    </row>
    <row r="341" spans="1:18" x14ac:dyDescent="0.25">
      <c r="B341" s="26">
        <v>45509</v>
      </c>
      <c r="C341" s="2" t="s">
        <v>114</v>
      </c>
      <c r="D341" t="s">
        <v>229</v>
      </c>
      <c r="E341" s="1">
        <v>10000</v>
      </c>
      <c r="F341" s="1">
        <f t="shared" si="11"/>
        <v>34925.75</v>
      </c>
    </row>
    <row r="342" spans="1:18" x14ac:dyDescent="0.25">
      <c r="A342" s="30">
        <v>1</v>
      </c>
      <c r="B342" s="26">
        <v>45510</v>
      </c>
      <c r="C342" s="2" t="s">
        <v>83</v>
      </c>
      <c r="D342" t="s">
        <v>86</v>
      </c>
      <c r="E342" s="1">
        <v>195</v>
      </c>
      <c r="F342" s="1">
        <f t="shared" si="11"/>
        <v>35120.75</v>
      </c>
    </row>
    <row r="343" spans="1:18" x14ac:dyDescent="0.25">
      <c r="A343" s="30">
        <v>1</v>
      </c>
      <c r="B343" s="26">
        <v>45510</v>
      </c>
      <c r="C343" s="2" t="s">
        <v>83</v>
      </c>
      <c r="D343" t="s">
        <v>86</v>
      </c>
      <c r="E343" s="1">
        <v>195</v>
      </c>
      <c r="F343" s="1">
        <f t="shared" si="11"/>
        <v>35315.75</v>
      </c>
    </row>
    <row r="344" spans="1:18" x14ac:dyDescent="0.25">
      <c r="A344" s="30">
        <v>1</v>
      </c>
      <c r="B344" s="26">
        <v>45510</v>
      </c>
      <c r="C344" s="2" t="s">
        <v>83</v>
      </c>
      <c r="D344" t="s">
        <v>86</v>
      </c>
      <c r="E344" s="1">
        <v>20</v>
      </c>
      <c r="F344" s="1">
        <f t="shared" si="11"/>
        <v>35335.75</v>
      </c>
    </row>
    <row r="345" spans="1:18" x14ac:dyDescent="0.25">
      <c r="B345" s="26">
        <v>45510</v>
      </c>
      <c r="C345" s="2" t="s">
        <v>82</v>
      </c>
      <c r="D345" t="s">
        <v>233</v>
      </c>
      <c r="E345" s="1">
        <v>-10000</v>
      </c>
      <c r="F345" s="1">
        <f t="shared" si="11"/>
        <v>25335.75</v>
      </c>
    </row>
    <row r="346" spans="1:18" x14ac:dyDescent="0.25">
      <c r="A346" s="30">
        <v>19</v>
      </c>
      <c r="B346" s="26">
        <v>45510</v>
      </c>
      <c r="C346" s="2" t="s">
        <v>82</v>
      </c>
      <c r="D346" t="s">
        <v>192</v>
      </c>
      <c r="E346" s="1">
        <v>-170.18</v>
      </c>
      <c r="F346" s="1">
        <f t="shared" si="11"/>
        <v>25165.57</v>
      </c>
      <c r="G346">
        <v>64</v>
      </c>
    </row>
    <row r="347" spans="1:18" x14ac:dyDescent="0.25">
      <c r="A347" s="30">
        <v>19</v>
      </c>
      <c r="B347" s="26">
        <v>45510</v>
      </c>
      <c r="C347" s="2" t="s">
        <v>82</v>
      </c>
      <c r="D347" t="s">
        <v>192</v>
      </c>
      <c r="E347" s="1">
        <v>-94.57</v>
      </c>
      <c r="F347" s="1">
        <f t="shared" si="11"/>
        <v>25071</v>
      </c>
      <c r="G347">
        <v>65</v>
      </c>
    </row>
    <row r="348" spans="1:18" x14ac:dyDescent="0.25">
      <c r="A348" s="30">
        <v>8</v>
      </c>
      <c r="B348" s="26">
        <v>45511</v>
      </c>
      <c r="C348" s="2" t="s">
        <v>83</v>
      </c>
      <c r="D348" t="s">
        <v>231</v>
      </c>
      <c r="E348" s="1">
        <v>15</v>
      </c>
      <c r="F348" s="1">
        <f t="shared" si="11"/>
        <v>25086</v>
      </c>
    </row>
    <row r="349" spans="1:18" x14ac:dyDescent="0.25">
      <c r="A349" s="30">
        <v>8</v>
      </c>
      <c r="B349" s="26">
        <v>45511</v>
      </c>
      <c r="C349" s="2" t="s">
        <v>83</v>
      </c>
      <c r="D349" t="s">
        <v>230</v>
      </c>
      <c r="E349" s="1">
        <v>30</v>
      </c>
      <c r="F349" s="1">
        <f t="shared" si="11"/>
        <v>25116</v>
      </c>
    </row>
    <row r="350" spans="1:18" x14ac:dyDescent="0.25">
      <c r="A350" s="30">
        <v>8</v>
      </c>
      <c r="B350" s="26">
        <v>45512</v>
      </c>
      <c r="C350" s="2" t="s">
        <v>80</v>
      </c>
      <c r="D350" t="s">
        <v>234</v>
      </c>
      <c r="E350" s="1">
        <v>15</v>
      </c>
      <c r="F350" s="1">
        <f t="shared" si="11"/>
        <v>25131</v>
      </c>
    </row>
    <row r="351" spans="1:18" x14ac:dyDescent="0.25">
      <c r="A351" s="30">
        <v>1</v>
      </c>
      <c r="B351" s="26">
        <v>45513</v>
      </c>
      <c r="C351" s="2" t="s">
        <v>83</v>
      </c>
      <c r="D351" t="s">
        <v>91</v>
      </c>
      <c r="E351" s="1">
        <v>45</v>
      </c>
      <c r="F351" s="1">
        <f t="shared" si="11"/>
        <v>25176</v>
      </c>
    </row>
    <row r="352" spans="1:18" x14ac:dyDescent="0.25">
      <c r="A352" s="30">
        <v>16</v>
      </c>
      <c r="B352" s="26">
        <v>45513</v>
      </c>
      <c r="C352" s="2" t="s">
        <v>8</v>
      </c>
      <c r="D352" t="s">
        <v>11</v>
      </c>
      <c r="E352" s="1">
        <v>-32.380000000000003</v>
      </c>
      <c r="F352" s="1">
        <f t="shared" ref="F352:F371" si="12">F351+E352</f>
        <v>25143.62</v>
      </c>
      <c r="G352" t="s">
        <v>75</v>
      </c>
    </row>
    <row r="353" spans="1:8" x14ac:dyDescent="0.25">
      <c r="A353" s="30">
        <v>8</v>
      </c>
      <c r="B353" s="26">
        <v>45516</v>
      </c>
      <c r="C353" s="2" t="s">
        <v>83</v>
      </c>
      <c r="D353" t="s">
        <v>235</v>
      </c>
      <c r="E353" s="1">
        <v>15</v>
      </c>
      <c r="F353" s="1">
        <f t="shared" si="12"/>
        <v>25158.62</v>
      </c>
    </row>
    <row r="354" spans="1:8" x14ac:dyDescent="0.25">
      <c r="A354" s="30">
        <v>1</v>
      </c>
      <c r="B354" s="26">
        <v>45518</v>
      </c>
      <c r="C354" s="2" t="s">
        <v>83</v>
      </c>
      <c r="D354" t="s">
        <v>89</v>
      </c>
      <c r="E354" s="1">
        <v>65</v>
      </c>
      <c r="F354" s="1">
        <f t="shared" si="12"/>
        <v>25223.62</v>
      </c>
    </row>
    <row r="355" spans="1:8" x14ac:dyDescent="0.25">
      <c r="A355" s="30">
        <v>1</v>
      </c>
      <c r="B355" s="26">
        <v>45518</v>
      </c>
      <c r="C355" s="2" t="s">
        <v>83</v>
      </c>
      <c r="D355" t="s">
        <v>89</v>
      </c>
      <c r="E355" s="1">
        <v>90</v>
      </c>
      <c r="F355" s="1">
        <f t="shared" si="12"/>
        <v>25313.62</v>
      </c>
    </row>
    <row r="356" spans="1:8" x14ac:dyDescent="0.25">
      <c r="A356" s="30">
        <v>19</v>
      </c>
      <c r="B356" s="26">
        <v>45519</v>
      </c>
      <c r="C356" s="2" t="s">
        <v>82</v>
      </c>
      <c r="D356" t="s">
        <v>192</v>
      </c>
      <c r="E356" s="1">
        <v>-368</v>
      </c>
      <c r="F356" s="1">
        <f t="shared" si="12"/>
        <v>24945.62</v>
      </c>
      <c r="G356">
        <v>66</v>
      </c>
    </row>
    <row r="357" spans="1:8" x14ac:dyDescent="0.25">
      <c r="A357" s="30">
        <v>8</v>
      </c>
      <c r="B357" s="26">
        <v>45519</v>
      </c>
      <c r="C357" s="2" t="s">
        <v>83</v>
      </c>
      <c r="D357" t="s">
        <v>236</v>
      </c>
      <c r="E357" s="1">
        <v>15</v>
      </c>
      <c r="F357" s="1">
        <f t="shared" si="12"/>
        <v>24960.62</v>
      </c>
    </row>
    <row r="358" spans="1:8" x14ac:dyDescent="0.25">
      <c r="A358" s="30">
        <v>8</v>
      </c>
      <c r="B358" s="26">
        <v>45521</v>
      </c>
      <c r="C358" s="2" t="s">
        <v>83</v>
      </c>
      <c r="D358" t="s">
        <v>238</v>
      </c>
      <c r="E358" s="1">
        <v>30</v>
      </c>
      <c r="F358" s="1">
        <f t="shared" si="12"/>
        <v>24990.62</v>
      </c>
    </row>
    <row r="359" spans="1:8" x14ac:dyDescent="0.25">
      <c r="A359" s="30">
        <v>1</v>
      </c>
      <c r="B359" s="26">
        <v>45523</v>
      </c>
      <c r="C359" s="2" t="s">
        <v>83</v>
      </c>
      <c r="D359" t="s">
        <v>113</v>
      </c>
      <c r="E359" s="1">
        <v>65</v>
      </c>
      <c r="F359" s="1">
        <f t="shared" si="12"/>
        <v>25055.62</v>
      </c>
      <c r="H359" t="s">
        <v>400</v>
      </c>
    </row>
    <row r="360" spans="1:8" x14ac:dyDescent="0.25">
      <c r="A360" s="30">
        <v>1</v>
      </c>
      <c r="B360" s="26">
        <v>45523</v>
      </c>
      <c r="C360" s="2" t="s">
        <v>80</v>
      </c>
      <c r="D360" t="s">
        <v>240</v>
      </c>
      <c r="E360" s="1">
        <v>30</v>
      </c>
      <c r="F360" s="1">
        <f t="shared" si="12"/>
        <v>25085.62</v>
      </c>
    </row>
    <row r="361" spans="1:8" x14ac:dyDescent="0.25">
      <c r="A361" s="30">
        <v>1</v>
      </c>
      <c r="B361" s="26">
        <v>45524</v>
      </c>
      <c r="C361" s="2" t="s">
        <v>83</v>
      </c>
      <c r="D361" t="s">
        <v>87</v>
      </c>
      <c r="E361" s="1">
        <v>45</v>
      </c>
      <c r="F361" s="1">
        <f t="shared" si="12"/>
        <v>25130.62</v>
      </c>
    </row>
    <row r="362" spans="1:8" x14ac:dyDescent="0.25">
      <c r="A362" s="30">
        <v>16</v>
      </c>
      <c r="B362" s="26">
        <v>45526</v>
      </c>
      <c r="C362" s="2" t="s">
        <v>8</v>
      </c>
      <c r="D362" t="s">
        <v>160</v>
      </c>
      <c r="E362" s="1">
        <v>-11.32</v>
      </c>
      <c r="F362" s="1">
        <f t="shared" si="12"/>
        <v>25119.3</v>
      </c>
      <c r="G362" t="s">
        <v>75</v>
      </c>
    </row>
    <row r="363" spans="1:8" x14ac:dyDescent="0.25">
      <c r="A363" s="30">
        <v>11</v>
      </c>
      <c r="B363" s="26">
        <v>45526</v>
      </c>
      <c r="C363" s="2" t="s">
        <v>8</v>
      </c>
      <c r="D363" t="s">
        <v>12</v>
      </c>
      <c r="E363" s="1">
        <v>-38.520000000000003</v>
      </c>
      <c r="F363" s="1">
        <f t="shared" si="12"/>
        <v>25080.78</v>
      </c>
      <c r="G363" t="s">
        <v>75</v>
      </c>
    </row>
    <row r="364" spans="1:8" x14ac:dyDescent="0.25">
      <c r="A364" s="30">
        <v>1</v>
      </c>
      <c r="B364" s="26">
        <v>45531</v>
      </c>
      <c r="C364" s="2" t="s">
        <v>80</v>
      </c>
      <c r="D364" t="s">
        <v>14</v>
      </c>
      <c r="E364" s="1">
        <v>25</v>
      </c>
      <c r="F364" s="1">
        <f t="shared" si="12"/>
        <v>25105.78</v>
      </c>
    </row>
    <row r="365" spans="1:8" x14ac:dyDescent="0.25">
      <c r="A365" s="30">
        <v>19</v>
      </c>
      <c r="B365" s="26">
        <v>45531</v>
      </c>
      <c r="C365" s="2" t="s">
        <v>82</v>
      </c>
      <c r="D365" t="s">
        <v>111</v>
      </c>
      <c r="E365" s="1">
        <v>-123.02</v>
      </c>
      <c r="F365" s="1">
        <f t="shared" si="12"/>
        <v>24982.76</v>
      </c>
      <c r="G365">
        <v>67</v>
      </c>
    </row>
    <row r="366" spans="1:8" x14ac:dyDescent="0.25">
      <c r="A366" s="30">
        <v>19</v>
      </c>
      <c r="B366" s="26">
        <v>45531</v>
      </c>
      <c r="C366" s="2" t="s">
        <v>82</v>
      </c>
      <c r="D366" t="s">
        <v>241</v>
      </c>
      <c r="E366" s="1">
        <v>-4450</v>
      </c>
      <c r="F366" s="1">
        <f t="shared" si="12"/>
        <v>20532.759999999998</v>
      </c>
      <c r="G366">
        <v>68</v>
      </c>
    </row>
    <row r="367" spans="1:8" x14ac:dyDescent="0.25">
      <c r="A367" s="30">
        <v>15</v>
      </c>
      <c r="B367" s="26">
        <v>45531</v>
      </c>
      <c r="C367" s="2" t="s">
        <v>82</v>
      </c>
      <c r="D367" t="s">
        <v>116</v>
      </c>
      <c r="E367" s="1">
        <v>-612.5</v>
      </c>
      <c r="F367" s="1">
        <f t="shared" si="12"/>
        <v>19920.259999999998</v>
      </c>
      <c r="G367">
        <v>69</v>
      </c>
    </row>
    <row r="368" spans="1:8" x14ac:dyDescent="0.25">
      <c r="A368" s="30">
        <v>1</v>
      </c>
      <c r="B368" s="26">
        <v>45532</v>
      </c>
      <c r="C368" s="2" t="s">
        <v>83</v>
      </c>
      <c r="D368" t="s">
        <v>153</v>
      </c>
      <c r="E368" s="1">
        <v>90</v>
      </c>
      <c r="F368" s="1">
        <f t="shared" si="12"/>
        <v>20010.259999999998</v>
      </c>
    </row>
    <row r="369" spans="1:8" x14ac:dyDescent="0.25">
      <c r="A369" s="30">
        <v>1</v>
      </c>
      <c r="B369" s="26">
        <v>45533</v>
      </c>
      <c r="C369" s="2" t="s">
        <v>83</v>
      </c>
      <c r="D369" t="s">
        <v>198</v>
      </c>
      <c r="E369" s="1">
        <v>490</v>
      </c>
      <c r="F369" s="1">
        <f t="shared" si="12"/>
        <v>20500.259999999998</v>
      </c>
    </row>
    <row r="370" spans="1:8" x14ac:dyDescent="0.25">
      <c r="A370" s="30">
        <v>13</v>
      </c>
      <c r="B370" s="26">
        <v>45533</v>
      </c>
      <c r="C370" s="2" t="s">
        <v>8</v>
      </c>
      <c r="D370" t="s">
        <v>169</v>
      </c>
      <c r="E370" s="1">
        <v>-222.87</v>
      </c>
      <c r="F370" s="1">
        <f t="shared" si="12"/>
        <v>20277.39</v>
      </c>
      <c r="G370">
        <v>70</v>
      </c>
      <c r="H370" t="s">
        <v>259</v>
      </c>
    </row>
    <row r="371" spans="1:8" x14ac:dyDescent="0.25">
      <c r="A371" s="30">
        <v>1</v>
      </c>
      <c r="B371" s="26">
        <v>45534</v>
      </c>
      <c r="C371" s="2" t="s">
        <v>83</v>
      </c>
      <c r="D371" t="s">
        <v>95</v>
      </c>
      <c r="E371" s="1">
        <v>60</v>
      </c>
      <c r="F371" s="1">
        <f t="shared" si="12"/>
        <v>20337.39</v>
      </c>
    </row>
    <row r="372" spans="1:8" hidden="1" x14ac:dyDescent="0.25">
      <c r="E372" s="1"/>
      <c r="F372" s="1"/>
    </row>
    <row r="373" spans="1:8" hidden="1" x14ac:dyDescent="0.25">
      <c r="E373" s="1"/>
      <c r="F373" s="1"/>
    </row>
    <row r="374" spans="1:8" hidden="1" x14ac:dyDescent="0.25">
      <c r="E374" s="1"/>
      <c r="F374" s="1"/>
    </row>
    <row r="375" spans="1:8" hidden="1" x14ac:dyDescent="0.25">
      <c r="E375" s="1"/>
      <c r="F375" s="1"/>
    </row>
    <row r="376" spans="1:8" hidden="1" x14ac:dyDescent="0.25">
      <c r="E376" s="1"/>
      <c r="F376" s="1"/>
    </row>
    <row r="377" spans="1:8" hidden="1" x14ac:dyDescent="0.25">
      <c r="E377" s="1"/>
      <c r="F377" s="1"/>
    </row>
    <row r="378" spans="1:8" hidden="1" x14ac:dyDescent="0.25">
      <c r="E378" s="1"/>
      <c r="F378" s="1"/>
    </row>
    <row r="379" spans="1:8" hidden="1" x14ac:dyDescent="0.25">
      <c r="E379" s="1"/>
      <c r="F379" s="1"/>
    </row>
    <row r="380" spans="1:8" hidden="1" x14ac:dyDescent="0.25">
      <c r="E380" s="1"/>
      <c r="F380" s="1"/>
    </row>
    <row r="381" spans="1:8" hidden="1" x14ac:dyDescent="0.25">
      <c r="E381" s="1"/>
      <c r="F381" s="1"/>
    </row>
    <row r="382" spans="1:8" hidden="1" x14ac:dyDescent="0.25">
      <c r="E382" s="1"/>
      <c r="F382" s="1"/>
    </row>
    <row r="383" spans="1:8" hidden="1" x14ac:dyDescent="0.25">
      <c r="E383" s="1"/>
      <c r="F383" s="1"/>
    </row>
    <row r="384" spans="1:8" hidden="1" x14ac:dyDescent="0.25">
      <c r="E384" s="1"/>
      <c r="F384" s="1"/>
    </row>
    <row r="385" spans="5:6" hidden="1" x14ac:dyDescent="0.25">
      <c r="E385" s="1"/>
      <c r="F385" s="1"/>
    </row>
    <row r="386" spans="5:6" hidden="1" x14ac:dyDescent="0.25">
      <c r="E386" s="1"/>
      <c r="F386" s="1"/>
    </row>
    <row r="387" spans="5:6" hidden="1" x14ac:dyDescent="0.25">
      <c r="E387" s="1"/>
      <c r="F387" s="1"/>
    </row>
    <row r="388" spans="5:6" hidden="1" x14ac:dyDescent="0.25">
      <c r="E388" s="1"/>
      <c r="F388" s="1"/>
    </row>
    <row r="389" spans="5:6" hidden="1" x14ac:dyDescent="0.25">
      <c r="E389" s="1"/>
      <c r="F389" s="1"/>
    </row>
    <row r="390" spans="5:6" hidden="1" x14ac:dyDescent="0.25">
      <c r="E390" s="1"/>
      <c r="F390" s="1"/>
    </row>
    <row r="391" spans="5:6" hidden="1" x14ac:dyDescent="0.25">
      <c r="E391" s="1"/>
      <c r="F391" s="1"/>
    </row>
    <row r="392" spans="5:6" hidden="1" x14ac:dyDescent="0.25">
      <c r="E392" s="1"/>
      <c r="F392" s="1"/>
    </row>
    <row r="393" spans="5:6" hidden="1" x14ac:dyDescent="0.25">
      <c r="E393" s="1"/>
      <c r="F393" s="1"/>
    </row>
    <row r="394" spans="5:6" hidden="1" x14ac:dyDescent="0.25">
      <c r="E394" s="1"/>
      <c r="F394" s="1"/>
    </row>
    <row r="395" spans="5:6" hidden="1" x14ac:dyDescent="0.25">
      <c r="E395" s="1"/>
      <c r="F395" s="1"/>
    </row>
    <row r="396" spans="5:6" hidden="1" x14ac:dyDescent="0.25">
      <c r="E396" s="1"/>
      <c r="F396" s="1"/>
    </row>
    <row r="397" spans="5:6" hidden="1" x14ac:dyDescent="0.25">
      <c r="E397" s="1"/>
      <c r="F397" s="1"/>
    </row>
    <row r="398" spans="5:6" hidden="1" x14ac:dyDescent="0.25">
      <c r="E398" s="1"/>
      <c r="F398" s="1"/>
    </row>
    <row r="399" spans="5:6" hidden="1" x14ac:dyDescent="0.25">
      <c r="E399" s="1"/>
      <c r="F399" s="1"/>
    </row>
    <row r="400" spans="5:6" hidden="1" x14ac:dyDescent="0.25">
      <c r="E400" s="1"/>
      <c r="F400" s="1"/>
    </row>
    <row r="401" spans="1:7" hidden="1" x14ac:dyDescent="0.25">
      <c r="E401" s="1"/>
      <c r="F401" s="1"/>
    </row>
    <row r="402" spans="1:7" hidden="1" x14ac:dyDescent="0.25">
      <c r="E402" s="1"/>
      <c r="F402" s="1"/>
    </row>
    <row r="403" spans="1:7" hidden="1" x14ac:dyDescent="0.25">
      <c r="E403" s="1"/>
      <c r="F403" s="1"/>
    </row>
    <row r="404" spans="1:7" hidden="1" x14ac:dyDescent="0.25">
      <c r="E404" s="1"/>
      <c r="F404" s="1"/>
    </row>
    <row r="405" spans="1:7" x14ac:dyDescent="0.25">
      <c r="A405" s="30">
        <v>1</v>
      </c>
      <c r="B405" s="26">
        <v>45537</v>
      </c>
      <c r="C405" s="2" t="s">
        <v>83</v>
      </c>
      <c r="D405" t="s">
        <v>153</v>
      </c>
      <c r="E405" s="1">
        <v>75</v>
      </c>
      <c r="F405" s="1">
        <f>E405+F371</f>
        <v>20412.39</v>
      </c>
    </row>
    <row r="406" spans="1:7" x14ac:dyDescent="0.25">
      <c r="A406" s="30">
        <v>8</v>
      </c>
      <c r="B406" s="26">
        <v>45537</v>
      </c>
      <c r="C406" s="2" t="s">
        <v>83</v>
      </c>
      <c r="D406" t="s">
        <v>243</v>
      </c>
      <c r="E406" s="1">
        <v>15</v>
      </c>
      <c r="F406" s="1">
        <f t="shared" ref="F406" si="13">F405+E406</f>
        <v>20427.39</v>
      </c>
    </row>
    <row r="407" spans="1:7" x14ac:dyDescent="0.25">
      <c r="A407" s="30">
        <v>1</v>
      </c>
      <c r="B407" s="26">
        <v>45537</v>
      </c>
      <c r="C407" s="2" t="s">
        <v>80</v>
      </c>
      <c r="D407" t="s">
        <v>94</v>
      </c>
      <c r="E407" s="1">
        <v>125</v>
      </c>
      <c r="F407" s="1">
        <f>E407+F406</f>
        <v>20552.39</v>
      </c>
    </row>
    <row r="408" spans="1:7" x14ac:dyDescent="0.25">
      <c r="A408" s="30">
        <v>23</v>
      </c>
      <c r="B408" s="26">
        <v>45537</v>
      </c>
      <c r="C408" s="2" t="s">
        <v>8</v>
      </c>
      <c r="D408" t="s">
        <v>142</v>
      </c>
      <c r="E408" s="1">
        <v>-28.52</v>
      </c>
      <c r="F408" s="1">
        <f t="shared" ref="F408:F471" si="14">E408+F407</f>
        <v>20523.87</v>
      </c>
      <c r="G408">
        <v>28</v>
      </c>
    </row>
    <row r="409" spans="1:7" x14ac:dyDescent="0.25">
      <c r="A409" s="30">
        <v>1</v>
      </c>
      <c r="B409" s="26">
        <v>45538</v>
      </c>
      <c r="C409" s="2" t="s">
        <v>83</v>
      </c>
      <c r="D409" t="s">
        <v>93</v>
      </c>
      <c r="E409" s="1">
        <v>15</v>
      </c>
      <c r="F409" s="1">
        <f t="shared" si="14"/>
        <v>20538.87</v>
      </c>
    </row>
    <row r="410" spans="1:7" x14ac:dyDescent="0.25">
      <c r="A410" s="30">
        <v>19</v>
      </c>
      <c r="B410" s="26">
        <v>45540</v>
      </c>
      <c r="C410" s="2" t="s">
        <v>82</v>
      </c>
      <c r="D410" t="s">
        <v>255</v>
      </c>
      <c r="E410" s="1">
        <v>-2266.67</v>
      </c>
      <c r="F410" s="1">
        <f t="shared" si="14"/>
        <v>18272.199999999997</v>
      </c>
      <c r="G410">
        <v>71</v>
      </c>
    </row>
    <row r="411" spans="1:7" x14ac:dyDescent="0.25">
      <c r="A411" s="30">
        <v>8</v>
      </c>
      <c r="B411" s="26">
        <v>45541</v>
      </c>
      <c r="C411" s="2" t="s">
        <v>80</v>
      </c>
      <c r="D411" t="s">
        <v>14</v>
      </c>
      <c r="E411" s="1">
        <v>15</v>
      </c>
      <c r="F411" s="1">
        <f t="shared" si="14"/>
        <v>18287.199999999997</v>
      </c>
    </row>
    <row r="412" spans="1:7" x14ac:dyDescent="0.25">
      <c r="A412" s="30">
        <v>8</v>
      </c>
      <c r="B412" s="26">
        <v>45541</v>
      </c>
      <c r="C412" s="2" t="s">
        <v>80</v>
      </c>
      <c r="D412" t="s">
        <v>14</v>
      </c>
      <c r="E412" s="1">
        <v>15</v>
      </c>
      <c r="F412" s="1">
        <f t="shared" si="14"/>
        <v>18302.199999999997</v>
      </c>
    </row>
    <row r="413" spans="1:7" x14ac:dyDescent="0.25">
      <c r="A413" s="30">
        <v>8</v>
      </c>
      <c r="B413" s="26">
        <v>45544</v>
      </c>
      <c r="C413" s="2" t="s">
        <v>83</v>
      </c>
      <c r="D413" t="s">
        <v>245</v>
      </c>
      <c r="E413" s="1">
        <v>15</v>
      </c>
      <c r="F413" s="1">
        <f t="shared" si="14"/>
        <v>18317.199999999997</v>
      </c>
    </row>
    <row r="414" spans="1:7" x14ac:dyDescent="0.25">
      <c r="A414" s="30">
        <v>8</v>
      </c>
      <c r="B414" s="26">
        <v>45544</v>
      </c>
      <c r="C414" s="2" t="s">
        <v>80</v>
      </c>
      <c r="D414" t="s">
        <v>246</v>
      </c>
      <c r="E414" s="1">
        <v>15</v>
      </c>
      <c r="F414" s="1">
        <f t="shared" si="14"/>
        <v>18332.199999999997</v>
      </c>
    </row>
    <row r="415" spans="1:7" x14ac:dyDescent="0.25">
      <c r="A415" s="30">
        <v>16</v>
      </c>
      <c r="B415" s="26">
        <v>45544</v>
      </c>
      <c r="C415" s="2" t="s">
        <v>8</v>
      </c>
      <c r="D415" t="s">
        <v>11</v>
      </c>
      <c r="E415" s="1">
        <v>-32.380000000000003</v>
      </c>
      <c r="F415" s="1">
        <f t="shared" si="14"/>
        <v>18299.819999999996</v>
      </c>
      <c r="G415" t="s">
        <v>75</v>
      </c>
    </row>
    <row r="416" spans="1:7" x14ac:dyDescent="0.25">
      <c r="A416" s="30">
        <v>8</v>
      </c>
      <c r="B416" s="26">
        <v>45546</v>
      </c>
      <c r="C416" s="2" t="s">
        <v>120</v>
      </c>
      <c r="D416" t="s">
        <v>252</v>
      </c>
      <c r="E416" s="1">
        <v>15</v>
      </c>
      <c r="F416" s="1">
        <f t="shared" si="14"/>
        <v>18314.819999999996</v>
      </c>
    </row>
    <row r="417" spans="1:12" x14ac:dyDescent="0.25">
      <c r="A417" s="30">
        <v>4</v>
      </c>
      <c r="B417" s="26">
        <v>45548</v>
      </c>
      <c r="C417" s="2" t="s">
        <v>83</v>
      </c>
      <c r="D417" t="s">
        <v>109</v>
      </c>
      <c r="E417" s="1">
        <v>1333.65</v>
      </c>
      <c r="F417" s="1">
        <f t="shared" si="14"/>
        <v>19648.469999999998</v>
      </c>
    </row>
    <row r="418" spans="1:12" x14ac:dyDescent="0.25">
      <c r="A418" s="30">
        <v>1</v>
      </c>
      <c r="B418" s="26">
        <v>45551</v>
      </c>
      <c r="C418" s="2" t="s">
        <v>83</v>
      </c>
      <c r="D418" t="s">
        <v>248</v>
      </c>
      <c r="E418" s="1">
        <v>55</v>
      </c>
      <c r="F418" s="1">
        <f t="shared" si="14"/>
        <v>19703.469999999998</v>
      </c>
      <c r="G418" t="s">
        <v>400</v>
      </c>
    </row>
    <row r="419" spans="1:12" x14ac:dyDescent="0.25">
      <c r="A419" s="30">
        <v>1</v>
      </c>
      <c r="B419" s="26">
        <v>45916</v>
      </c>
      <c r="C419" s="2" t="s">
        <v>80</v>
      </c>
      <c r="D419" t="s">
        <v>92</v>
      </c>
      <c r="E419" s="1">
        <v>15</v>
      </c>
      <c r="F419" s="1">
        <f t="shared" si="14"/>
        <v>19718.469999999998</v>
      </c>
    </row>
    <row r="420" spans="1:12" x14ac:dyDescent="0.25">
      <c r="A420" s="30">
        <v>19</v>
      </c>
      <c r="B420" s="26">
        <v>45551</v>
      </c>
      <c r="C420" s="2" t="s">
        <v>82</v>
      </c>
      <c r="D420" t="s">
        <v>256</v>
      </c>
      <c r="E420" s="1">
        <v>-2000</v>
      </c>
      <c r="F420" s="1">
        <f t="shared" si="14"/>
        <v>17718.469999999998</v>
      </c>
      <c r="G420">
        <v>72</v>
      </c>
    </row>
    <row r="421" spans="1:12" x14ac:dyDescent="0.25">
      <c r="A421" s="30">
        <v>1</v>
      </c>
      <c r="B421" s="26">
        <v>45551</v>
      </c>
      <c r="C421" s="2" t="s">
        <v>80</v>
      </c>
      <c r="D421" t="s">
        <v>14</v>
      </c>
      <c r="E421" s="1">
        <v>65</v>
      </c>
      <c r="F421" s="1">
        <f t="shared" si="14"/>
        <v>17783.469999999998</v>
      </c>
    </row>
    <row r="422" spans="1:12" x14ac:dyDescent="0.25">
      <c r="A422" s="30">
        <v>8</v>
      </c>
      <c r="B422" s="26">
        <v>45553</v>
      </c>
      <c r="C422" s="2" t="s">
        <v>83</v>
      </c>
      <c r="D422" t="s">
        <v>247</v>
      </c>
      <c r="E422" s="1">
        <v>15</v>
      </c>
      <c r="F422" s="1">
        <f t="shared" si="14"/>
        <v>17798.469999999998</v>
      </c>
    </row>
    <row r="423" spans="1:12" x14ac:dyDescent="0.25">
      <c r="A423" s="30">
        <v>8</v>
      </c>
      <c r="B423" s="26">
        <v>45554</v>
      </c>
      <c r="C423" s="2" t="s">
        <v>79</v>
      </c>
      <c r="D423" t="s">
        <v>250</v>
      </c>
      <c r="E423" s="1">
        <v>15</v>
      </c>
      <c r="F423" s="1">
        <f t="shared" si="14"/>
        <v>17813.469999999998</v>
      </c>
    </row>
    <row r="424" spans="1:12" x14ac:dyDescent="0.25">
      <c r="A424" s="30">
        <v>1</v>
      </c>
      <c r="B424" s="26">
        <v>45554</v>
      </c>
      <c r="C424" s="2" t="s">
        <v>83</v>
      </c>
      <c r="D424" t="s">
        <v>104</v>
      </c>
      <c r="E424" s="1">
        <v>180</v>
      </c>
      <c r="F424" s="1">
        <f t="shared" si="14"/>
        <v>17993.469999999998</v>
      </c>
    </row>
    <row r="425" spans="1:12" x14ac:dyDescent="0.25">
      <c r="A425" s="30">
        <v>8</v>
      </c>
      <c r="B425" s="26">
        <v>45555</v>
      </c>
      <c r="C425" s="2" t="s">
        <v>83</v>
      </c>
      <c r="D425" t="s">
        <v>249</v>
      </c>
      <c r="E425" s="1">
        <v>15</v>
      </c>
      <c r="F425" s="1">
        <f t="shared" si="14"/>
        <v>18008.469999999998</v>
      </c>
    </row>
    <row r="426" spans="1:12" x14ac:dyDescent="0.25">
      <c r="A426" s="30">
        <v>1</v>
      </c>
      <c r="B426" s="26">
        <v>45555</v>
      </c>
      <c r="C426" s="2" t="s">
        <v>80</v>
      </c>
      <c r="D426" t="s">
        <v>92</v>
      </c>
      <c r="E426" s="1">
        <v>15</v>
      </c>
      <c r="F426" s="1">
        <f t="shared" si="14"/>
        <v>18023.469999999998</v>
      </c>
    </row>
    <row r="427" spans="1:12" x14ac:dyDescent="0.25">
      <c r="A427" s="30">
        <v>1</v>
      </c>
      <c r="B427" s="26">
        <v>45555</v>
      </c>
      <c r="C427" s="2" t="s">
        <v>80</v>
      </c>
      <c r="D427" t="s">
        <v>14</v>
      </c>
      <c r="E427" s="1">
        <v>60</v>
      </c>
      <c r="F427" s="1">
        <f t="shared" si="14"/>
        <v>18083.469999999998</v>
      </c>
    </row>
    <row r="428" spans="1:12" x14ac:dyDescent="0.25">
      <c r="A428" s="30">
        <v>19</v>
      </c>
      <c r="B428" s="26">
        <v>45558</v>
      </c>
      <c r="C428" s="2" t="s">
        <v>82</v>
      </c>
      <c r="D428" t="s">
        <v>244</v>
      </c>
      <c r="E428" s="1">
        <v>-4000</v>
      </c>
      <c r="F428" s="1">
        <f t="shared" si="14"/>
        <v>14083.469999999998</v>
      </c>
      <c r="G428">
        <v>73</v>
      </c>
    </row>
    <row r="429" spans="1:12" x14ac:dyDescent="0.25">
      <c r="A429" s="30">
        <v>1</v>
      </c>
      <c r="B429" s="26">
        <v>45558</v>
      </c>
      <c r="C429" s="2" t="s">
        <v>80</v>
      </c>
      <c r="D429" t="s">
        <v>90</v>
      </c>
      <c r="E429" s="1">
        <v>120</v>
      </c>
      <c r="F429" s="1">
        <f t="shared" si="14"/>
        <v>14203.469999999998</v>
      </c>
      <c r="K429" s="7" t="s">
        <v>232</v>
      </c>
    </row>
    <row r="430" spans="1:12" x14ac:dyDescent="0.25">
      <c r="A430" s="30">
        <v>8</v>
      </c>
      <c r="B430" s="26">
        <v>45558</v>
      </c>
      <c r="C430" s="2" t="s">
        <v>83</v>
      </c>
      <c r="D430" t="s">
        <v>251</v>
      </c>
      <c r="E430" s="1">
        <v>10</v>
      </c>
      <c r="F430" s="1">
        <f t="shared" si="14"/>
        <v>14213.469999999998</v>
      </c>
      <c r="J430" s="26">
        <v>45510</v>
      </c>
      <c r="K430" t="s">
        <v>231</v>
      </c>
      <c r="L430" s="1">
        <v>15</v>
      </c>
    </row>
    <row r="431" spans="1:12" x14ac:dyDescent="0.25">
      <c r="A431" s="30">
        <v>19</v>
      </c>
      <c r="B431" s="26">
        <v>45558</v>
      </c>
      <c r="C431" s="2" t="s">
        <v>82</v>
      </c>
      <c r="D431" t="s">
        <v>257</v>
      </c>
      <c r="E431" s="1">
        <v>-219.75</v>
      </c>
      <c r="F431" s="1">
        <f t="shared" si="14"/>
        <v>13993.719999999998</v>
      </c>
      <c r="G431" s="11">
        <v>74</v>
      </c>
      <c r="J431" s="26">
        <v>45510</v>
      </c>
      <c r="K431" t="s">
        <v>230</v>
      </c>
      <c r="L431" s="1">
        <v>30</v>
      </c>
    </row>
    <row r="432" spans="1:12" x14ac:dyDescent="0.25">
      <c r="A432" s="30">
        <v>19</v>
      </c>
      <c r="B432" s="26">
        <v>45558</v>
      </c>
      <c r="C432" s="2" t="s">
        <v>82</v>
      </c>
      <c r="D432" t="s">
        <v>258</v>
      </c>
      <c r="E432" s="1">
        <v>-274.48</v>
      </c>
      <c r="F432" s="1">
        <f t="shared" si="14"/>
        <v>13719.239999999998</v>
      </c>
      <c r="G432" s="11">
        <v>75</v>
      </c>
      <c r="J432" s="26">
        <v>45512</v>
      </c>
      <c r="K432" t="s">
        <v>234</v>
      </c>
      <c r="L432" s="1">
        <v>15</v>
      </c>
    </row>
    <row r="433" spans="1:12" x14ac:dyDescent="0.25">
      <c r="A433" s="30">
        <v>16</v>
      </c>
      <c r="B433" s="26">
        <v>45558</v>
      </c>
      <c r="C433" s="2" t="s">
        <v>8</v>
      </c>
      <c r="D433" t="s">
        <v>160</v>
      </c>
      <c r="E433" s="1">
        <v>-11.32</v>
      </c>
      <c r="F433" s="1">
        <f t="shared" si="14"/>
        <v>13707.919999999998</v>
      </c>
      <c r="G433" s="1" t="s">
        <v>75</v>
      </c>
      <c r="J433" s="26">
        <v>45516</v>
      </c>
      <c r="K433" t="s">
        <v>235</v>
      </c>
      <c r="L433" s="1">
        <v>15</v>
      </c>
    </row>
    <row r="434" spans="1:12" x14ac:dyDescent="0.25">
      <c r="A434" s="30">
        <v>11</v>
      </c>
      <c r="B434" s="26">
        <v>45558</v>
      </c>
      <c r="C434" s="2" t="s">
        <v>8</v>
      </c>
      <c r="D434" t="s">
        <v>12</v>
      </c>
      <c r="E434" s="1">
        <v>-49.05</v>
      </c>
      <c r="F434" s="1">
        <f t="shared" si="14"/>
        <v>13658.869999999999</v>
      </c>
      <c r="G434" s="1" t="s">
        <v>75</v>
      </c>
      <c r="J434" s="26">
        <v>45519</v>
      </c>
      <c r="K434" t="s">
        <v>236</v>
      </c>
      <c r="L434" s="1">
        <v>15</v>
      </c>
    </row>
    <row r="435" spans="1:12" x14ac:dyDescent="0.25">
      <c r="A435" s="30">
        <v>1</v>
      </c>
      <c r="B435" s="26">
        <v>45560</v>
      </c>
      <c r="C435" s="2" t="s">
        <v>83</v>
      </c>
      <c r="D435" t="s">
        <v>95</v>
      </c>
      <c r="E435" s="1">
        <v>90</v>
      </c>
      <c r="F435" s="1">
        <f t="shared" si="14"/>
        <v>13748.869999999999</v>
      </c>
      <c r="G435" s="1"/>
      <c r="J435" s="26">
        <v>45521</v>
      </c>
      <c r="K435" t="s">
        <v>238</v>
      </c>
      <c r="L435" s="1">
        <v>30</v>
      </c>
    </row>
    <row r="436" spans="1:12" x14ac:dyDescent="0.25">
      <c r="A436" s="30">
        <v>15</v>
      </c>
      <c r="B436" s="26">
        <v>45560</v>
      </c>
      <c r="C436" s="2" t="s">
        <v>82</v>
      </c>
      <c r="D436" t="s">
        <v>116</v>
      </c>
      <c r="E436" s="1">
        <v>-612.5</v>
      </c>
      <c r="F436" s="1">
        <f t="shared" si="14"/>
        <v>13136.369999999999</v>
      </c>
      <c r="G436" s="11">
        <v>76</v>
      </c>
      <c r="J436" s="26">
        <v>45537</v>
      </c>
      <c r="K436" t="s">
        <v>243</v>
      </c>
      <c r="L436" s="1">
        <v>15</v>
      </c>
    </row>
    <row r="437" spans="1:12" x14ac:dyDescent="0.25">
      <c r="A437" s="30">
        <v>19</v>
      </c>
      <c r="B437" s="26">
        <v>45560</v>
      </c>
      <c r="C437" s="2" t="s">
        <v>82</v>
      </c>
      <c r="D437" t="s">
        <v>244</v>
      </c>
      <c r="E437" s="1">
        <v>-1000</v>
      </c>
      <c r="F437" s="1">
        <f t="shared" si="14"/>
        <v>12136.369999999999</v>
      </c>
      <c r="G437" s="11">
        <v>73</v>
      </c>
      <c r="J437" s="26">
        <v>45544</v>
      </c>
      <c r="K437" t="s">
        <v>245</v>
      </c>
      <c r="L437" s="1">
        <v>15</v>
      </c>
    </row>
    <row r="438" spans="1:12" x14ac:dyDescent="0.25">
      <c r="A438" s="30">
        <v>1</v>
      </c>
      <c r="B438" s="26">
        <v>45561</v>
      </c>
      <c r="C438" s="2" t="s">
        <v>83</v>
      </c>
      <c r="D438" t="s">
        <v>86</v>
      </c>
      <c r="E438" s="1">
        <v>260</v>
      </c>
      <c r="F438" s="1">
        <f t="shared" si="14"/>
        <v>12396.369999999999</v>
      </c>
      <c r="J438" s="26">
        <v>45544</v>
      </c>
      <c r="K438" t="s">
        <v>246</v>
      </c>
      <c r="L438" s="1">
        <v>15</v>
      </c>
    </row>
    <row r="439" spans="1:12" x14ac:dyDescent="0.25">
      <c r="A439" s="30">
        <v>1</v>
      </c>
      <c r="B439" s="26">
        <v>45561</v>
      </c>
      <c r="C439" s="2" t="s">
        <v>83</v>
      </c>
      <c r="D439" t="s">
        <v>78</v>
      </c>
      <c r="E439" s="1">
        <v>200</v>
      </c>
      <c r="F439" s="1">
        <f t="shared" si="14"/>
        <v>12596.369999999999</v>
      </c>
      <c r="J439" s="26">
        <v>45546</v>
      </c>
      <c r="K439" t="s">
        <v>252</v>
      </c>
      <c r="L439" s="1">
        <v>15</v>
      </c>
    </row>
    <row r="440" spans="1:12" x14ac:dyDescent="0.25">
      <c r="A440" s="30">
        <v>1</v>
      </c>
      <c r="B440" s="26">
        <v>45562</v>
      </c>
      <c r="C440" s="2" t="s">
        <v>80</v>
      </c>
      <c r="D440" t="s">
        <v>253</v>
      </c>
      <c r="E440" s="1">
        <v>75</v>
      </c>
      <c r="F440" s="1">
        <f t="shared" si="14"/>
        <v>12671.369999999999</v>
      </c>
      <c r="H440" t="s">
        <v>400</v>
      </c>
      <c r="J440" s="26">
        <v>45553</v>
      </c>
      <c r="K440" t="s">
        <v>247</v>
      </c>
      <c r="L440" s="1">
        <v>15</v>
      </c>
    </row>
    <row r="441" spans="1:12" x14ac:dyDescent="0.25">
      <c r="A441" s="30">
        <v>10</v>
      </c>
      <c r="B441" s="26">
        <v>45562</v>
      </c>
      <c r="C441" s="2" t="s">
        <v>9</v>
      </c>
      <c r="D441" t="s">
        <v>10</v>
      </c>
      <c r="E441" s="1">
        <v>-12.5</v>
      </c>
      <c r="F441" s="1">
        <f t="shared" si="14"/>
        <v>12658.869999999999</v>
      </c>
      <c r="G441" t="s">
        <v>9</v>
      </c>
      <c r="J441" s="26">
        <v>45554</v>
      </c>
      <c r="K441" t="s">
        <v>250</v>
      </c>
      <c r="L441" s="1">
        <v>15</v>
      </c>
    </row>
    <row r="442" spans="1:12" x14ac:dyDescent="0.25">
      <c r="A442" s="30">
        <v>1</v>
      </c>
      <c r="B442" s="26">
        <v>45565</v>
      </c>
      <c r="C442" s="2" t="s">
        <v>80</v>
      </c>
      <c r="D442" t="s">
        <v>92</v>
      </c>
      <c r="E442" s="1">
        <v>15</v>
      </c>
      <c r="F442" s="1">
        <f t="shared" si="14"/>
        <v>12673.869999999999</v>
      </c>
      <c r="J442" s="26">
        <v>45555</v>
      </c>
      <c r="K442" t="s">
        <v>249</v>
      </c>
      <c r="L442" s="1">
        <v>15</v>
      </c>
    </row>
    <row r="443" spans="1:12" x14ac:dyDescent="0.25">
      <c r="A443" s="30">
        <v>19</v>
      </c>
      <c r="B443" s="26">
        <v>45565</v>
      </c>
      <c r="C443" s="2" t="s">
        <v>82</v>
      </c>
      <c r="D443" t="s">
        <v>192</v>
      </c>
      <c r="E443" s="1">
        <v>-176</v>
      </c>
      <c r="F443" s="1">
        <f t="shared" si="14"/>
        <v>12497.869999999999</v>
      </c>
      <c r="G443">
        <v>77</v>
      </c>
      <c r="J443" s="26">
        <v>45558</v>
      </c>
      <c r="K443" t="s">
        <v>251</v>
      </c>
      <c r="L443" s="1">
        <v>10</v>
      </c>
    </row>
    <row r="444" spans="1:12" x14ac:dyDescent="0.25">
      <c r="A444" s="30">
        <v>19</v>
      </c>
      <c r="B444" s="26">
        <v>45565</v>
      </c>
      <c r="C444" s="2" t="s">
        <v>82</v>
      </c>
      <c r="D444" t="s">
        <v>111</v>
      </c>
      <c r="E444" s="1">
        <v>-27.19</v>
      </c>
      <c r="F444" s="1">
        <f t="shared" si="14"/>
        <v>12470.679999999998</v>
      </c>
      <c r="G444">
        <v>78</v>
      </c>
      <c r="J444" s="26">
        <v>45620</v>
      </c>
      <c r="K444" t="s">
        <v>332</v>
      </c>
      <c r="L444" s="1">
        <v>15</v>
      </c>
    </row>
    <row r="445" spans="1:12" x14ac:dyDescent="0.25">
      <c r="A445" s="30">
        <v>16</v>
      </c>
      <c r="B445" s="26">
        <v>45565</v>
      </c>
      <c r="C445" s="2" t="s">
        <v>82</v>
      </c>
      <c r="D445" t="s">
        <v>194</v>
      </c>
      <c r="E445" s="1">
        <v>-19.2</v>
      </c>
      <c r="F445" s="1">
        <f t="shared" si="14"/>
        <v>12451.479999999998</v>
      </c>
      <c r="G445">
        <v>79</v>
      </c>
      <c r="L445" s="1">
        <f>SUM(L430:L444)</f>
        <v>250</v>
      </c>
    </row>
    <row r="446" spans="1:12" x14ac:dyDescent="0.25">
      <c r="A446" s="30">
        <v>19</v>
      </c>
      <c r="B446" s="26">
        <v>45565</v>
      </c>
      <c r="C446" s="2" t="s">
        <v>82</v>
      </c>
      <c r="D446" t="s">
        <v>192</v>
      </c>
      <c r="E446" s="1">
        <v>-60</v>
      </c>
      <c r="F446" s="1">
        <f t="shared" si="14"/>
        <v>12391.479999999998</v>
      </c>
      <c r="G446">
        <v>80</v>
      </c>
    </row>
    <row r="447" spans="1:12" x14ac:dyDescent="0.25">
      <c r="A447" s="30">
        <v>23</v>
      </c>
      <c r="B447" s="26">
        <v>45566</v>
      </c>
      <c r="C447" s="2" t="s">
        <v>8</v>
      </c>
      <c r="D447" t="s">
        <v>254</v>
      </c>
      <c r="E447" s="1">
        <v>-28.52</v>
      </c>
      <c r="F447" s="1">
        <f t="shared" si="14"/>
        <v>12362.959999999997</v>
      </c>
      <c r="G447">
        <v>28</v>
      </c>
      <c r="K447" t="s">
        <v>260</v>
      </c>
    </row>
    <row r="448" spans="1:12" x14ac:dyDescent="0.25">
      <c r="A448" s="30">
        <v>1</v>
      </c>
      <c r="B448" s="26">
        <v>45569</v>
      </c>
      <c r="C448" s="2" t="s">
        <v>80</v>
      </c>
      <c r="D448" t="s">
        <v>94</v>
      </c>
      <c r="E448" s="1">
        <v>85</v>
      </c>
      <c r="F448" s="1">
        <f t="shared" si="14"/>
        <v>12447.959999999997</v>
      </c>
    </row>
    <row r="449" spans="1:13" x14ac:dyDescent="0.25">
      <c r="A449" s="30">
        <v>1</v>
      </c>
      <c r="B449" s="26">
        <v>45572</v>
      </c>
      <c r="C449" s="2" t="s">
        <v>83</v>
      </c>
      <c r="D449" t="s">
        <v>261</v>
      </c>
      <c r="E449" s="1">
        <v>55</v>
      </c>
      <c r="F449" s="1">
        <f t="shared" si="14"/>
        <v>12502.959999999997</v>
      </c>
      <c r="H449" t="s">
        <v>400</v>
      </c>
    </row>
    <row r="450" spans="1:13" x14ac:dyDescent="0.25">
      <c r="A450" s="30">
        <v>1</v>
      </c>
      <c r="B450" s="26">
        <v>45573</v>
      </c>
      <c r="C450" s="2" t="s">
        <v>80</v>
      </c>
      <c r="D450" t="s">
        <v>262</v>
      </c>
      <c r="E450" s="1">
        <v>55</v>
      </c>
      <c r="F450" s="1">
        <f t="shared" si="14"/>
        <v>12557.959999999997</v>
      </c>
      <c r="H450" t="s">
        <v>400</v>
      </c>
    </row>
    <row r="451" spans="1:13" x14ac:dyDescent="0.25">
      <c r="A451" s="30">
        <v>1</v>
      </c>
      <c r="B451" s="26">
        <v>45573</v>
      </c>
      <c r="C451" s="2" t="s">
        <v>80</v>
      </c>
      <c r="D451" t="s">
        <v>92</v>
      </c>
      <c r="E451" s="1">
        <v>15</v>
      </c>
      <c r="F451" s="1">
        <f t="shared" si="14"/>
        <v>12572.959999999997</v>
      </c>
    </row>
    <row r="452" spans="1:13" x14ac:dyDescent="0.25">
      <c r="A452" s="30">
        <v>8</v>
      </c>
      <c r="B452" s="26">
        <v>45574</v>
      </c>
      <c r="C452" s="2" t="s">
        <v>80</v>
      </c>
      <c r="D452" t="s">
        <v>263</v>
      </c>
      <c r="E452" s="1">
        <v>10</v>
      </c>
      <c r="F452" s="1">
        <f t="shared" si="14"/>
        <v>12582.959999999997</v>
      </c>
    </row>
    <row r="453" spans="1:13" x14ac:dyDescent="0.25">
      <c r="A453" s="30">
        <v>1</v>
      </c>
      <c r="B453" s="26">
        <v>45575</v>
      </c>
      <c r="C453" s="2" t="s">
        <v>83</v>
      </c>
      <c r="D453" t="s">
        <v>91</v>
      </c>
      <c r="E453" s="1">
        <v>45</v>
      </c>
      <c r="F453" s="1">
        <f t="shared" si="14"/>
        <v>12627.959999999997</v>
      </c>
    </row>
    <row r="454" spans="1:13" x14ac:dyDescent="0.25">
      <c r="A454" s="30">
        <v>16</v>
      </c>
      <c r="B454" s="26">
        <v>45575</v>
      </c>
      <c r="C454" s="2" t="s">
        <v>8</v>
      </c>
      <c r="D454" t="s">
        <v>11</v>
      </c>
      <c r="E454" s="1">
        <v>-32.380000000000003</v>
      </c>
      <c r="F454" s="1">
        <f t="shared" si="14"/>
        <v>12595.579999999998</v>
      </c>
      <c r="G454" t="s">
        <v>75</v>
      </c>
    </row>
    <row r="455" spans="1:13" x14ac:dyDescent="0.25">
      <c r="A455" s="30">
        <v>1</v>
      </c>
      <c r="B455" s="26">
        <v>45576</v>
      </c>
      <c r="C455" s="2" t="s">
        <v>80</v>
      </c>
      <c r="D455" t="s">
        <v>92</v>
      </c>
      <c r="E455" s="1">
        <v>15</v>
      </c>
      <c r="F455" s="1">
        <f t="shared" si="14"/>
        <v>12610.579999999998</v>
      </c>
      <c r="K455" t="s">
        <v>268</v>
      </c>
    </row>
    <row r="456" spans="1:13" x14ac:dyDescent="0.25">
      <c r="A456" s="30">
        <v>1</v>
      </c>
      <c r="B456" s="26">
        <v>45579</v>
      </c>
      <c r="C456" s="2" t="s">
        <v>83</v>
      </c>
      <c r="D456" t="s">
        <v>153</v>
      </c>
      <c r="E456" s="1">
        <v>105</v>
      </c>
      <c r="F456" s="1">
        <f t="shared" si="14"/>
        <v>12715.579999999998</v>
      </c>
    </row>
    <row r="457" spans="1:13" x14ac:dyDescent="0.25">
      <c r="A457" s="30">
        <v>1</v>
      </c>
      <c r="B457" s="26">
        <v>45579</v>
      </c>
      <c r="C457" s="2" t="s">
        <v>83</v>
      </c>
      <c r="D457" t="s">
        <v>104</v>
      </c>
      <c r="E457" s="1">
        <v>135</v>
      </c>
      <c r="F457" s="1">
        <f t="shared" si="14"/>
        <v>12850.579999999998</v>
      </c>
    </row>
    <row r="458" spans="1:13" x14ac:dyDescent="0.25">
      <c r="A458" s="30">
        <v>1</v>
      </c>
      <c r="B458" s="26">
        <v>45583</v>
      </c>
      <c r="C458" s="2" t="s">
        <v>80</v>
      </c>
      <c r="D458" t="s">
        <v>92</v>
      </c>
      <c r="E458" s="1">
        <v>15</v>
      </c>
      <c r="F458" s="1">
        <f t="shared" si="14"/>
        <v>12865.579999999998</v>
      </c>
    </row>
    <row r="459" spans="1:13" x14ac:dyDescent="0.25">
      <c r="A459" s="30">
        <v>1</v>
      </c>
      <c r="B459" s="26">
        <v>45583</v>
      </c>
      <c r="C459" s="2" t="s">
        <v>80</v>
      </c>
      <c r="D459" t="s">
        <v>14</v>
      </c>
      <c r="E459" s="1">
        <v>60</v>
      </c>
      <c r="F459" s="1">
        <f t="shared" si="14"/>
        <v>12925.579999999998</v>
      </c>
    </row>
    <row r="460" spans="1:13" x14ac:dyDescent="0.25">
      <c r="A460" s="30">
        <v>6</v>
      </c>
      <c r="B460" s="26">
        <v>45586</v>
      </c>
      <c r="C460" s="2" t="s">
        <v>114</v>
      </c>
      <c r="D460" t="s">
        <v>264</v>
      </c>
      <c r="E460" s="1">
        <v>10000</v>
      </c>
      <c r="F460" s="1">
        <f t="shared" si="14"/>
        <v>22925.579999999998</v>
      </c>
    </row>
    <row r="461" spans="1:13" x14ac:dyDescent="0.25">
      <c r="A461" s="30">
        <v>11</v>
      </c>
      <c r="B461" s="26">
        <v>45587</v>
      </c>
      <c r="C461" s="2" t="s">
        <v>8</v>
      </c>
      <c r="D461" t="s">
        <v>12</v>
      </c>
      <c r="E461" s="1">
        <v>-48.26</v>
      </c>
      <c r="F461" s="1">
        <f t="shared" si="14"/>
        <v>22877.32</v>
      </c>
      <c r="G461" t="s">
        <v>75</v>
      </c>
    </row>
    <row r="462" spans="1:13" x14ac:dyDescent="0.25">
      <c r="A462" s="30">
        <v>16</v>
      </c>
      <c r="B462" s="26">
        <v>45587</v>
      </c>
      <c r="C462" s="2" t="s">
        <v>8</v>
      </c>
      <c r="D462" t="s">
        <v>160</v>
      </c>
      <c r="E462" s="1">
        <v>-11.32</v>
      </c>
      <c r="F462" s="1">
        <f t="shared" si="14"/>
        <v>22866</v>
      </c>
      <c r="G462" t="s">
        <v>75</v>
      </c>
      <c r="I462" s="1"/>
    </row>
    <row r="463" spans="1:13" x14ac:dyDescent="0.25">
      <c r="A463" s="30">
        <v>1</v>
      </c>
      <c r="B463" s="26">
        <v>45588</v>
      </c>
      <c r="C463" s="2" t="s">
        <v>83</v>
      </c>
      <c r="D463" t="s">
        <v>15</v>
      </c>
      <c r="E463" s="1">
        <v>200</v>
      </c>
      <c r="F463" s="1">
        <f t="shared" si="14"/>
        <v>23066</v>
      </c>
      <c r="M463" s="26"/>
    </row>
    <row r="464" spans="1:13" x14ac:dyDescent="0.25">
      <c r="A464" s="30">
        <v>1</v>
      </c>
      <c r="B464" s="26">
        <v>45588</v>
      </c>
      <c r="C464" s="2" t="s">
        <v>83</v>
      </c>
      <c r="D464" t="s">
        <v>15</v>
      </c>
      <c r="E464" s="1">
        <v>670</v>
      </c>
      <c r="F464" s="1">
        <f t="shared" si="14"/>
        <v>23736</v>
      </c>
    </row>
    <row r="465" spans="1:15" x14ac:dyDescent="0.25">
      <c r="A465" s="30">
        <v>1</v>
      </c>
      <c r="B465" s="26">
        <v>45588</v>
      </c>
      <c r="C465" s="2" t="s">
        <v>83</v>
      </c>
      <c r="D465" t="s">
        <v>78</v>
      </c>
      <c r="E465" s="1">
        <v>200</v>
      </c>
      <c r="F465" s="1">
        <f t="shared" si="14"/>
        <v>23936</v>
      </c>
    </row>
    <row r="466" spans="1:15" x14ac:dyDescent="0.25">
      <c r="A466" s="30">
        <v>1</v>
      </c>
      <c r="B466" s="26">
        <v>45589</v>
      </c>
      <c r="C466" s="2" t="s">
        <v>83</v>
      </c>
      <c r="D466" t="s">
        <v>265</v>
      </c>
      <c r="E466" s="1">
        <v>55</v>
      </c>
      <c r="F466" s="1">
        <f t="shared" si="14"/>
        <v>23991</v>
      </c>
      <c r="H466" t="s">
        <v>400</v>
      </c>
    </row>
    <row r="467" spans="1:15" x14ac:dyDescent="0.25">
      <c r="A467" s="30">
        <v>1</v>
      </c>
      <c r="B467" s="26">
        <v>45590</v>
      </c>
      <c r="C467" s="2" t="s">
        <v>80</v>
      </c>
      <c r="D467" t="s">
        <v>14</v>
      </c>
      <c r="E467" s="1">
        <v>30</v>
      </c>
      <c r="F467" s="1">
        <f t="shared" si="14"/>
        <v>24021</v>
      </c>
    </row>
    <row r="468" spans="1:15" x14ac:dyDescent="0.25">
      <c r="A468" s="30">
        <v>1</v>
      </c>
      <c r="B468" s="26">
        <v>45590</v>
      </c>
      <c r="C468" s="2" t="s">
        <v>80</v>
      </c>
      <c r="D468" t="s">
        <v>92</v>
      </c>
      <c r="E468" s="1">
        <v>15</v>
      </c>
      <c r="F468" s="1">
        <f t="shared" si="14"/>
        <v>24036</v>
      </c>
    </row>
    <row r="469" spans="1:15" x14ac:dyDescent="0.25">
      <c r="A469" s="30">
        <v>19</v>
      </c>
      <c r="B469" s="26">
        <v>45590</v>
      </c>
      <c r="C469" s="2" t="s">
        <v>82</v>
      </c>
      <c r="D469" t="s">
        <v>280</v>
      </c>
      <c r="E469" s="1">
        <v>-88.08</v>
      </c>
      <c r="F469" s="1">
        <f t="shared" si="14"/>
        <v>23947.919999999998</v>
      </c>
      <c r="G469">
        <v>81</v>
      </c>
    </row>
    <row r="470" spans="1:15" x14ac:dyDescent="0.25">
      <c r="A470" s="30">
        <v>15</v>
      </c>
      <c r="B470" s="26">
        <v>45590</v>
      </c>
      <c r="C470" s="2" t="s">
        <v>82</v>
      </c>
      <c r="D470" t="s">
        <v>151</v>
      </c>
      <c r="E470" s="1">
        <v>-612.5</v>
      </c>
      <c r="F470" s="1">
        <f t="shared" si="14"/>
        <v>23335.42</v>
      </c>
      <c r="G470">
        <v>82</v>
      </c>
    </row>
    <row r="471" spans="1:15" x14ac:dyDescent="0.25">
      <c r="A471" s="30">
        <v>19</v>
      </c>
      <c r="B471" s="26">
        <v>45590</v>
      </c>
      <c r="C471" s="2" t="s">
        <v>82</v>
      </c>
      <c r="D471" t="s">
        <v>266</v>
      </c>
      <c r="E471" s="1">
        <v>-230</v>
      </c>
      <c r="F471" s="1">
        <f t="shared" si="14"/>
        <v>23105.42</v>
      </c>
      <c r="G471">
        <v>83</v>
      </c>
    </row>
    <row r="472" spans="1:15" x14ac:dyDescent="0.25">
      <c r="A472" s="30">
        <v>17</v>
      </c>
      <c r="B472" s="26">
        <v>45590</v>
      </c>
      <c r="C472" s="2" t="s">
        <v>82</v>
      </c>
      <c r="D472" t="s">
        <v>267</v>
      </c>
      <c r="E472" s="1">
        <v>-35.56</v>
      </c>
      <c r="F472" s="1">
        <f t="shared" ref="F472:F535" si="15">E472+F471</f>
        <v>23069.859999999997</v>
      </c>
      <c r="G472">
        <v>84</v>
      </c>
    </row>
    <row r="473" spans="1:15" x14ac:dyDescent="0.25">
      <c r="A473" s="30">
        <v>17</v>
      </c>
      <c r="B473" s="26">
        <v>45590</v>
      </c>
      <c r="C473" s="2" t="s">
        <v>82</v>
      </c>
      <c r="D473" t="s">
        <v>281</v>
      </c>
      <c r="E473" s="1">
        <v>-6.49</v>
      </c>
      <c r="F473" s="1">
        <f t="shared" si="15"/>
        <v>23063.369999999995</v>
      </c>
      <c r="G473">
        <v>85</v>
      </c>
    </row>
    <row r="474" spans="1:15" x14ac:dyDescent="0.25">
      <c r="A474" s="30">
        <v>22</v>
      </c>
      <c r="B474" s="26">
        <v>45593</v>
      </c>
      <c r="C474" s="2" t="s">
        <v>82</v>
      </c>
      <c r="D474" t="s">
        <v>269</v>
      </c>
      <c r="E474" s="1">
        <v>-180</v>
      </c>
      <c r="F474" s="1">
        <f t="shared" si="15"/>
        <v>22883.369999999995</v>
      </c>
    </row>
    <row r="475" spans="1:15" x14ac:dyDescent="0.25">
      <c r="A475" s="30">
        <v>1</v>
      </c>
      <c r="B475" s="26">
        <v>45594</v>
      </c>
      <c r="C475" s="2" t="s">
        <v>83</v>
      </c>
      <c r="D475" t="s">
        <v>95</v>
      </c>
      <c r="E475" s="1">
        <v>100</v>
      </c>
      <c r="F475" s="1">
        <f t="shared" si="15"/>
        <v>22983.369999999995</v>
      </c>
    </row>
    <row r="476" spans="1:15" x14ac:dyDescent="0.25">
      <c r="A476" s="30">
        <v>1</v>
      </c>
      <c r="B476" s="26">
        <v>45596</v>
      </c>
      <c r="C476" s="2" t="s">
        <v>83</v>
      </c>
      <c r="D476" t="s">
        <v>87</v>
      </c>
      <c r="E476" s="1">
        <v>45</v>
      </c>
      <c r="F476" s="1">
        <f t="shared" si="15"/>
        <v>23028.369999999995</v>
      </c>
    </row>
    <row r="477" spans="1:15" x14ac:dyDescent="0.25">
      <c r="A477" s="30">
        <v>23</v>
      </c>
      <c r="B477" s="26">
        <v>45597</v>
      </c>
      <c r="C477" s="2" t="s">
        <v>8</v>
      </c>
      <c r="D477" t="s">
        <v>142</v>
      </c>
      <c r="E477" s="1">
        <v>-28.52</v>
      </c>
      <c r="F477" s="1">
        <f t="shared" si="15"/>
        <v>22999.849999999995</v>
      </c>
      <c r="G477">
        <v>28</v>
      </c>
    </row>
    <row r="478" spans="1:15" x14ac:dyDescent="0.25">
      <c r="A478" s="30">
        <v>19</v>
      </c>
      <c r="B478" s="26">
        <v>45597</v>
      </c>
      <c r="C478" s="2" t="s">
        <v>82</v>
      </c>
      <c r="D478" t="s">
        <v>276</v>
      </c>
      <c r="E478" s="1">
        <v>-6440</v>
      </c>
      <c r="F478" s="1">
        <f t="shared" si="15"/>
        <v>16559.849999999995</v>
      </c>
      <c r="G478">
        <v>86</v>
      </c>
    </row>
    <row r="479" spans="1:15" x14ac:dyDescent="0.25">
      <c r="A479" s="30">
        <v>1</v>
      </c>
      <c r="B479" s="26">
        <v>45601</v>
      </c>
      <c r="C479" s="2" t="s">
        <v>83</v>
      </c>
      <c r="D479" t="s">
        <v>90</v>
      </c>
      <c r="E479" s="1">
        <v>90</v>
      </c>
      <c r="F479" s="1">
        <f t="shared" si="15"/>
        <v>16649.849999999995</v>
      </c>
      <c r="N479" t="s">
        <v>77</v>
      </c>
    </row>
    <row r="480" spans="1:15" x14ac:dyDescent="0.25">
      <c r="A480" s="30">
        <v>5</v>
      </c>
      <c r="B480" s="26">
        <v>45601</v>
      </c>
      <c r="C480" s="2" t="s">
        <v>83</v>
      </c>
      <c r="D480" t="s">
        <v>277</v>
      </c>
      <c r="E480" s="1">
        <v>250</v>
      </c>
      <c r="F480" s="1">
        <f t="shared" si="15"/>
        <v>16899.849999999995</v>
      </c>
      <c r="N480" s="23">
        <v>1</v>
      </c>
      <c r="O480" s="13" t="s">
        <v>17</v>
      </c>
    </row>
    <row r="481" spans="1:24" x14ac:dyDescent="0.25">
      <c r="A481" s="30">
        <v>1</v>
      </c>
      <c r="B481" s="26">
        <v>45602</v>
      </c>
      <c r="C481" s="2" t="s">
        <v>83</v>
      </c>
      <c r="D481" t="s">
        <v>86</v>
      </c>
      <c r="E481" s="1">
        <v>195</v>
      </c>
      <c r="F481" s="1">
        <f t="shared" si="15"/>
        <v>17094.849999999995</v>
      </c>
      <c r="N481" s="23">
        <v>2</v>
      </c>
      <c r="O481" s="13" t="s">
        <v>16</v>
      </c>
    </row>
    <row r="482" spans="1:24" x14ac:dyDescent="0.25">
      <c r="A482" s="30">
        <v>1</v>
      </c>
      <c r="B482" s="26">
        <v>45602</v>
      </c>
      <c r="C482" s="2" t="s">
        <v>83</v>
      </c>
      <c r="D482" t="s">
        <v>86</v>
      </c>
      <c r="E482" s="1">
        <v>260</v>
      </c>
      <c r="F482" s="1">
        <f t="shared" si="15"/>
        <v>17354.849999999995</v>
      </c>
      <c r="N482" s="23">
        <v>3</v>
      </c>
      <c r="O482" s="13" t="s">
        <v>19</v>
      </c>
    </row>
    <row r="483" spans="1:24" x14ac:dyDescent="0.25">
      <c r="A483" s="30">
        <v>8</v>
      </c>
      <c r="B483" s="26">
        <v>45602</v>
      </c>
      <c r="C483" s="2" t="s">
        <v>83</v>
      </c>
      <c r="D483" t="s">
        <v>279</v>
      </c>
      <c r="E483" s="1">
        <v>5</v>
      </c>
      <c r="F483" s="1">
        <f t="shared" si="15"/>
        <v>17359.849999999995</v>
      </c>
      <c r="N483" s="23">
        <v>4</v>
      </c>
      <c r="O483" s="13" t="s">
        <v>22</v>
      </c>
    </row>
    <row r="484" spans="1:24" x14ac:dyDescent="0.25">
      <c r="A484" s="30">
        <v>8</v>
      </c>
      <c r="B484" s="26">
        <v>45602</v>
      </c>
      <c r="C484" s="2" t="s">
        <v>83</v>
      </c>
      <c r="D484" t="s">
        <v>122</v>
      </c>
      <c r="E484" s="1">
        <v>5</v>
      </c>
      <c r="F484" s="1">
        <f t="shared" si="15"/>
        <v>17364.849999999995</v>
      </c>
      <c r="N484" s="23">
        <v>5</v>
      </c>
      <c r="O484" s="13" t="s">
        <v>36</v>
      </c>
    </row>
    <row r="485" spans="1:24" ht="15.75" x14ac:dyDescent="0.25">
      <c r="A485" s="30">
        <v>22</v>
      </c>
      <c r="B485" s="26">
        <v>45602</v>
      </c>
      <c r="C485" s="2" t="s">
        <v>82</v>
      </c>
      <c r="D485" t="s">
        <v>278</v>
      </c>
      <c r="E485" s="1">
        <v>-216</v>
      </c>
      <c r="F485" s="1">
        <f t="shared" si="15"/>
        <v>17148.849999999995</v>
      </c>
      <c r="G485">
        <v>87</v>
      </c>
      <c r="K485" s="64" t="s">
        <v>270</v>
      </c>
      <c r="N485" s="23">
        <v>6</v>
      </c>
      <c r="O485" s="13" t="s">
        <v>24</v>
      </c>
      <c r="S485" s="30"/>
      <c r="T485" s="26"/>
      <c r="U485" s="2"/>
      <c r="W485" s="1"/>
      <c r="X485" s="1"/>
    </row>
    <row r="486" spans="1:24" ht="15.75" x14ac:dyDescent="0.25">
      <c r="A486" s="30">
        <v>20</v>
      </c>
      <c r="B486" s="26">
        <v>45602</v>
      </c>
      <c r="C486" s="2" t="s">
        <v>82</v>
      </c>
      <c r="D486" t="s">
        <v>118</v>
      </c>
      <c r="E486" s="1">
        <v>-22.15</v>
      </c>
      <c r="F486" s="1">
        <f t="shared" si="15"/>
        <v>17126.699999999993</v>
      </c>
      <c r="G486">
        <v>88</v>
      </c>
      <c r="K486" s="64" t="s">
        <v>271</v>
      </c>
      <c r="N486" s="23">
        <v>7</v>
      </c>
      <c r="O486" s="13" t="s">
        <v>20</v>
      </c>
      <c r="S486" s="30"/>
      <c r="T486" s="26"/>
      <c r="U486" s="2"/>
      <c r="W486" s="1"/>
      <c r="X486" s="1"/>
    </row>
    <row r="487" spans="1:24" ht="15.75" x14ac:dyDescent="0.25">
      <c r="A487" s="30">
        <v>25</v>
      </c>
      <c r="B487" s="26">
        <v>45602</v>
      </c>
      <c r="C487" s="2" t="s">
        <v>82</v>
      </c>
      <c r="D487" t="s">
        <v>118</v>
      </c>
      <c r="E487" s="1">
        <v>-140</v>
      </c>
      <c r="F487" s="1">
        <f t="shared" si="15"/>
        <v>16986.699999999993</v>
      </c>
      <c r="G487">
        <v>89</v>
      </c>
      <c r="K487" s="64" t="s">
        <v>272</v>
      </c>
      <c r="N487" s="23">
        <v>8</v>
      </c>
      <c r="O487" s="13" t="s">
        <v>242</v>
      </c>
      <c r="S487" s="30"/>
      <c r="T487" s="26"/>
      <c r="U487" s="2"/>
      <c r="W487" s="1"/>
      <c r="X487" s="1"/>
    </row>
    <row r="488" spans="1:24" ht="15.75" x14ac:dyDescent="0.25">
      <c r="A488" s="30">
        <v>8</v>
      </c>
      <c r="B488" s="26">
        <v>45603</v>
      </c>
      <c r="C488" s="2" t="s">
        <v>83</v>
      </c>
      <c r="D488" t="s">
        <v>283</v>
      </c>
      <c r="E488" s="1">
        <v>5</v>
      </c>
      <c r="F488" s="1">
        <f t="shared" si="15"/>
        <v>16991.699999999993</v>
      </c>
      <c r="H488" t="s">
        <v>289</v>
      </c>
      <c r="K488" s="64" t="s">
        <v>273</v>
      </c>
      <c r="N488" s="23">
        <v>10</v>
      </c>
      <c r="O488" s="13" t="s">
        <v>37</v>
      </c>
      <c r="S488" s="30"/>
      <c r="T488" s="26"/>
      <c r="U488" s="2"/>
      <c r="W488" s="1"/>
      <c r="X488" s="1"/>
    </row>
    <row r="489" spans="1:24" x14ac:dyDescent="0.25">
      <c r="A489" s="30">
        <v>1</v>
      </c>
      <c r="B489" s="26">
        <v>45603</v>
      </c>
      <c r="C489" s="2" t="s">
        <v>83</v>
      </c>
      <c r="D489" t="s">
        <v>91</v>
      </c>
      <c r="E489" s="1">
        <v>45</v>
      </c>
      <c r="F489" s="1">
        <f t="shared" si="15"/>
        <v>17036.699999999993</v>
      </c>
      <c r="K489" t="s">
        <v>275</v>
      </c>
      <c r="N489" s="23">
        <v>11</v>
      </c>
      <c r="O489" s="13" t="s">
        <v>38</v>
      </c>
      <c r="S489" s="30"/>
      <c r="T489" s="26"/>
      <c r="U489" s="2"/>
      <c r="W489" s="1"/>
      <c r="X489" s="1"/>
    </row>
    <row r="490" spans="1:24" ht="15.75" x14ac:dyDescent="0.25">
      <c r="A490" s="30">
        <v>8</v>
      </c>
      <c r="B490" s="26">
        <v>45603</v>
      </c>
      <c r="C490" s="2" t="s">
        <v>83</v>
      </c>
      <c r="D490" t="s">
        <v>282</v>
      </c>
      <c r="E490" s="1">
        <v>5</v>
      </c>
      <c r="F490" s="1">
        <f t="shared" si="15"/>
        <v>17041.699999999993</v>
      </c>
      <c r="H490" t="s">
        <v>288</v>
      </c>
      <c r="K490" s="64">
        <v>7877477022</v>
      </c>
      <c r="N490" s="23">
        <v>12</v>
      </c>
      <c r="O490" s="13" t="s">
        <v>13</v>
      </c>
      <c r="S490" s="30"/>
      <c r="T490" s="26"/>
      <c r="U490" s="2"/>
      <c r="W490" s="1"/>
      <c r="X490" s="1"/>
    </row>
    <row r="491" spans="1:24" ht="15.75" x14ac:dyDescent="0.25">
      <c r="A491" s="30">
        <v>1</v>
      </c>
      <c r="B491" s="26">
        <v>45604</v>
      </c>
      <c r="C491" s="2" t="s">
        <v>83</v>
      </c>
      <c r="D491" t="s">
        <v>89</v>
      </c>
      <c r="E491" s="1">
        <v>100</v>
      </c>
      <c r="F491" s="1">
        <f t="shared" si="15"/>
        <v>17141.699999999993</v>
      </c>
      <c r="K491" s="64" t="s">
        <v>274</v>
      </c>
      <c r="N491" s="23">
        <v>13</v>
      </c>
      <c r="O491" s="13" t="s">
        <v>39</v>
      </c>
      <c r="S491" s="30"/>
      <c r="T491" s="26"/>
      <c r="U491" s="2"/>
      <c r="W491" s="1"/>
      <c r="X491" s="1"/>
    </row>
    <row r="492" spans="1:24" x14ac:dyDescent="0.25">
      <c r="A492" s="30">
        <v>8</v>
      </c>
      <c r="B492" s="26">
        <v>45604</v>
      </c>
      <c r="C492" s="2" t="s">
        <v>83</v>
      </c>
      <c r="D492" t="s">
        <v>330</v>
      </c>
      <c r="E492" s="1">
        <v>5</v>
      </c>
      <c r="F492" s="1">
        <f t="shared" si="15"/>
        <v>17146.699999999993</v>
      </c>
      <c r="H492" t="s">
        <v>284</v>
      </c>
      <c r="N492" s="23">
        <v>14</v>
      </c>
      <c r="O492" s="13" t="s">
        <v>40</v>
      </c>
      <c r="S492" s="30"/>
      <c r="T492" s="26"/>
      <c r="U492" s="2"/>
      <c r="W492" s="1"/>
      <c r="X492" s="1"/>
    </row>
    <row r="493" spans="1:24" x14ac:dyDescent="0.25">
      <c r="A493" s="30">
        <v>1</v>
      </c>
      <c r="B493" s="26">
        <v>45604</v>
      </c>
      <c r="C493" s="2" t="s">
        <v>83</v>
      </c>
      <c r="D493" t="s">
        <v>89</v>
      </c>
      <c r="E493" s="1">
        <v>230</v>
      </c>
      <c r="F493" s="1">
        <f t="shared" si="15"/>
        <v>17376.699999999993</v>
      </c>
      <c r="N493" s="23">
        <v>15</v>
      </c>
      <c r="O493" s="13" t="s">
        <v>23</v>
      </c>
      <c r="S493" s="30"/>
      <c r="T493" s="26"/>
      <c r="U493" s="2"/>
      <c r="W493" s="1"/>
      <c r="X493" s="1"/>
    </row>
    <row r="494" spans="1:24" x14ac:dyDescent="0.25">
      <c r="A494" s="30">
        <v>1</v>
      </c>
      <c r="B494" s="26">
        <v>45607</v>
      </c>
      <c r="C494" s="2" t="s">
        <v>83</v>
      </c>
      <c r="D494" t="s">
        <v>15</v>
      </c>
      <c r="E494" s="1">
        <v>550</v>
      </c>
      <c r="F494" s="1">
        <f t="shared" si="15"/>
        <v>17926.699999999993</v>
      </c>
      <c r="N494" s="23">
        <v>16</v>
      </c>
      <c r="O494" s="13" t="s">
        <v>149</v>
      </c>
      <c r="S494" s="30"/>
      <c r="T494" s="26"/>
      <c r="U494" s="2"/>
      <c r="W494" s="1"/>
      <c r="X494" s="1"/>
    </row>
    <row r="495" spans="1:24" x14ac:dyDescent="0.25">
      <c r="A495" s="30">
        <v>1</v>
      </c>
      <c r="B495" s="26">
        <v>45607</v>
      </c>
      <c r="C495" s="2" t="s">
        <v>83</v>
      </c>
      <c r="D495" t="s">
        <v>291</v>
      </c>
      <c r="E495" s="1">
        <v>55</v>
      </c>
      <c r="F495" s="1">
        <f t="shared" si="15"/>
        <v>17981.699999999993</v>
      </c>
      <c r="I495" t="s">
        <v>400</v>
      </c>
      <c r="N495" s="23">
        <v>17</v>
      </c>
      <c r="O495" s="13" t="s">
        <v>42</v>
      </c>
    </row>
    <row r="496" spans="1:24" x14ac:dyDescent="0.25">
      <c r="A496" s="30">
        <v>8</v>
      </c>
      <c r="B496" s="26">
        <v>45607</v>
      </c>
      <c r="C496" s="2" t="s">
        <v>83</v>
      </c>
      <c r="D496" t="s">
        <v>296</v>
      </c>
      <c r="E496" s="1">
        <v>5</v>
      </c>
      <c r="F496" s="1">
        <f t="shared" si="15"/>
        <v>17986.699999999993</v>
      </c>
      <c r="H496" t="s">
        <v>298</v>
      </c>
      <c r="N496" s="23">
        <v>18</v>
      </c>
      <c r="O496" s="13" t="s">
        <v>43</v>
      </c>
    </row>
    <row r="497" spans="1:15" x14ac:dyDescent="0.25">
      <c r="A497" s="30">
        <v>8</v>
      </c>
      <c r="B497" s="26">
        <v>45607</v>
      </c>
      <c r="C497" s="2" t="s">
        <v>83</v>
      </c>
      <c r="D497" t="s">
        <v>299</v>
      </c>
      <c r="E497" s="1">
        <v>25</v>
      </c>
      <c r="F497" s="1">
        <f t="shared" si="15"/>
        <v>18011.699999999993</v>
      </c>
      <c r="N497" s="23">
        <v>19</v>
      </c>
      <c r="O497" s="13" t="s">
        <v>44</v>
      </c>
    </row>
    <row r="498" spans="1:15" x14ac:dyDescent="0.25">
      <c r="A498" s="30">
        <v>8</v>
      </c>
      <c r="B498" s="26">
        <v>45607</v>
      </c>
      <c r="C498" s="2" t="s">
        <v>83</v>
      </c>
      <c r="D498" t="s">
        <v>295</v>
      </c>
      <c r="E498" s="1">
        <v>5</v>
      </c>
      <c r="F498" s="1">
        <f t="shared" si="15"/>
        <v>18016.699999999993</v>
      </c>
      <c r="H498" t="s">
        <v>290</v>
      </c>
      <c r="N498" s="23">
        <v>20</v>
      </c>
      <c r="O498" s="13" t="s">
        <v>45</v>
      </c>
    </row>
    <row r="499" spans="1:15" x14ac:dyDescent="0.25">
      <c r="A499" s="30">
        <v>8</v>
      </c>
      <c r="B499" s="26">
        <v>45607</v>
      </c>
      <c r="C499" s="2" t="s">
        <v>83</v>
      </c>
      <c r="D499" t="s">
        <v>285</v>
      </c>
      <c r="E499" s="1">
        <v>5</v>
      </c>
      <c r="F499" s="1">
        <f t="shared" si="15"/>
        <v>18021.699999999993</v>
      </c>
      <c r="H499" t="s">
        <v>286</v>
      </c>
      <c r="N499" s="23">
        <v>21</v>
      </c>
      <c r="O499" s="13" t="s">
        <v>46</v>
      </c>
    </row>
    <row r="500" spans="1:15" x14ac:dyDescent="0.25">
      <c r="A500" s="30">
        <v>1</v>
      </c>
      <c r="B500" s="26">
        <v>45607</v>
      </c>
      <c r="C500" s="2" t="s">
        <v>83</v>
      </c>
      <c r="D500" t="s">
        <v>300</v>
      </c>
      <c r="E500" s="1">
        <v>55</v>
      </c>
      <c r="F500" s="1">
        <f t="shared" si="15"/>
        <v>18076.699999999993</v>
      </c>
      <c r="I500" t="s">
        <v>400</v>
      </c>
      <c r="N500" s="23">
        <v>22</v>
      </c>
      <c r="O500" s="13" t="s">
        <v>47</v>
      </c>
    </row>
    <row r="501" spans="1:15" x14ac:dyDescent="0.25">
      <c r="A501" s="30">
        <v>1</v>
      </c>
      <c r="B501" s="26">
        <v>45607</v>
      </c>
      <c r="C501" s="2" t="s">
        <v>83</v>
      </c>
      <c r="D501" t="s">
        <v>93</v>
      </c>
      <c r="E501" s="1">
        <v>15</v>
      </c>
      <c r="F501" s="1">
        <f t="shared" si="15"/>
        <v>18091.699999999993</v>
      </c>
      <c r="N501" s="23">
        <v>23</v>
      </c>
      <c r="O501" s="13" t="s">
        <v>27</v>
      </c>
    </row>
    <row r="502" spans="1:15" x14ac:dyDescent="0.25">
      <c r="A502" s="30">
        <v>8</v>
      </c>
      <c r="B502" s="26">
        <v>45607</v>
      </c>
      <c r="C502" s="2" t="s">
        <v>80</v>
      </c>
      <c r="D502" t="s">
        <v>294</v>
      </c>
      <c r="E502" s="1">
        <v>5</v>
      </c>
      <c r="F502" s="1">
        <f t="shared" si="15"/>
        <v>18096.699999999993</v>
      </c>
      <c r="H502" t="s">
        <v>297</v>
      </c>
      <c r="J502" t="s">
        <v>51</v>
      </c>
      <c r="N502" s="23">
        <v>24</v>
      </c>
      <c r="O502" s="13" t="s">
        <v>28</v>
      </c>
    </row>
    <row r="503" spans="1:15" x14ac:dyDescent="0.25">
      <c r="A503" s="30">
        <v>8</v>
      </c>
      <c r="B503" s="26">
        <v>45607</v>
      </c>
      <c r="C503" s="2" t="s">
        <v>80</v>
      </c>
      <c r="D503" t="s">
        <v>287</v>
      </c>
      <c r="E503" s="1">
        <v>5</v>
      </c>
      <c r="F503" s="1">
        <f t="shared" si="15"/>
        <v>18101.699999999993</v>
      </c>
      <c r="H503" t="s">
        <v>292</v>
      </c>
      <c r="N503" s="23"/>
      <c r="O503" s="13"/>
    </row>
    <row r="504" spans="1:15" x14ac:dyDescent="0.25">
      <c r="A504" s="30">
        <v>1</v>
      </c>
      <c r="B504" s="26">
        <v>45607</v>
      </c>
      <c r="C504" s="2" t="s">
        <v>83</v>
      </c>
      <c r="D504" t="s">
        <v>94</v>
      </c>
      <c r="E504" s="1">
        <v>85</v>
      </c>
      <c r="F504" s="1">
        <f t="shared" si="15"/>
        <v>18186.699999999993</v>
      </c>
      <c r="N504" s="23">
        <v>25</v>
      </c>
      <c r="O504" s="13" t="s">
        <v>49</v>
      </c>
    </row>
    <row r="505" spans="1:15" x14ac:dyDescent="0.25">
      <c r="A505" s="30">
        <v>1</v>
      </c>
      <c r="B505" s="26">
        <v>45607</v>
      </c>
      <c r="C505" s="2" t="s">
        <v>80</v>
      </c>
      <c r="D505" t="s">
        <v>92</v>
      </c>
      <c r="E505" s="1">
        <v>15</v>
      </c>
      <c r="F505" s="1">
        <f t="shared" si="15"/>
        <v>18201.699999999993</v>
      </c>
    </row>
    <row r="506" spans="1:15" x14ac:dyDescent="0.25">
      <c r="A506" s="30">
        <v>16</v>
      </c>
      <c r="B506" s="26">
        <v>45607</v>
      </c>
      <c r="C506" s="2" t="s">
        <v>83</v>
      </c>
      <c r="D506" t="s">
        <v>11</v>
      </c>
      <c r="E506" s="1">
        <v>-32.380000000000003</v>
      </c>
      <c r="F506" s="1">
        <f t="shared" si="15"/>
        <v>18169.319999999992</v>
      </c>
      <c r="G506" t="s">
        <v>8</v>
      </c>
    </row>
    <row r="507" spans="1:15" x14ac:dyDescent="0.25">
      <c r="A507" s="30">
        <v>1</v>
      </c>
      <c r="B507" s="26">
        <v>45607</v>
      </c>
      <c r="C507" s="2" t="s">
        <v>83</v>
      </c>
      <c r="D507" t="s">
        <v>104</v>
      </c>
      <c r="E507" s="1">
        <v>180</v>
      </c>
      <c r="F507" s="1">
        <f t="shared" si="15"/>
        <v>18349.319999999992</v>
      </c>
    </row>
    <row r="508" spans="1:15" x14ac:dyDescent="0.25">
      <c r="A508" s="30">
        <v>8</v>
      </c>
      <c r="B508" s="26">
        <v>45609</v>
      </c>
      <c r="C508" s="2" t="s">
        <v>83</v>
      </c>
      <c r="D508" t="s">
        <v>301</v>
      </c>
      <c r="E508" s="1">
        <v>5</v>
      </c>
      <c r="F508" s="1">
        <f t="shared" si="15"/>
        <v>18354.319999999992</v>
      </c>
      <c r="H508" t="s">
        <v>303</v>
      </c>
    </row>
    <row r="509" spans="1:15" x14ac:dyDescent="0.25">
      <c r="A509" s="30">
        <v>8</v>
      </c>
      <c r="B509" s="26">
        <v>45609</v>
      </c>
      <c r="C509" s="2" t="s">
        <v>83</v>
      </c>
      <c r="D509" t="s">
        <v>302</v>
      </c>
      <c r="E509" s="1">
        <v>5</v>
      </c>
      <c r="F509" s="1">
        <f t="shared" si="15"/>
        <v>18359.319999999992</v>
      </c>
      <c r="H509" t="s">
        <v>293</v>
      </c>
    </row>
    <row r="510" spans="1:15" x14ac:dyDescent="0.25">
      <c r="A510" s="30">
        <v>1</v>
      </c>
      <c r="B510" s="26">
        <v>45609</v>
      </c>
      <c r="C510" s="2" t="s">
        <v>80</v>
      </c>
      <c r="D510" t="s">
        <v>14</v>
      </c>
      <c r="E510" s="1">
        <v>30</v>
      </c>
      <c r="F510" s="1">
        <f t="shared" si="15"/>
        <v>18389.319999999992</v>
      </c>
    </row>
    <row r="511" spans="1:15" x14ac:dyDescent="0.25">
      <c r="A511" s="30">
        <v>8</v>
      </c>
      <c r="B511" s="26">
        <v>45610</v>
      </c>
      <c r="C511" s="2" t="s">
        <v>83</v>
      </c>
      <c r="D511" t="s">
        <v>306</v>
      </c>
      <c r="E511" s="1">
        <v>5</v>
      </c>
      <c r="F511" s="1">
        <f t="shared" si="15"/>
        <v>18394.319999999992</v>
      </c>
      <c r="H511" t="s">
        <v>304</v>
      </c>
    </row>
    <row r="512" spans="1:15" x14ac:dyDescent="0.25">
      <c r="A512" s="30">
        <v>8</v>
      </c>
      <c r="B512" s="26">
        <v>45611</v>
      </c>
      <c r="C512" s="2" t="s">
        <v>83</v>
      </c>
      <c r="D512" t="s">
        <v>305</v>
      </c>
      <c r="E512" s="1">
        <v>5</v>
      </c>
      <c r="F512" s="1">
        <f t="shared" si="15"/>
        <v>18399.319999999992</v>
      </c>
      <c r="H512" t="s">
        <v>317</v>
      </c>
    </row>
    <row r="513" spans="1:9" x14ac:dyDescent="0.25">
      <c r="A513" s="30">
        <v>8</v>
      </c>
      <c r="B513" s="26">
        <v>45614</v>
      </c>
      <c r="C513" s="2" t="s">
        <v>83</v>
      </c>
      <c r="D513" t="s">
        <v>327</v>
      </c>
      <c r="E513" s="1">
        <v>10</v>
      </c>
      <c r="F513" s="1">
        <f t="shared" si="15"/>
        <v>18409.319999999992</v>
      </c>
      <c r="H513" t="s">
        <v>321</v>
      </c>
    </row>
    <row r="514" spans="1:9" x14ac:dyDescent="0.25">
      <c r="A514" s="30">
        <v>8</v>
      </c>
      <c r="B514" s="26">
        <v>45614</v>
      </c>
      <c r="C514" s="2" t="s">
        <v>83</v>
      </c>
      <c r="D514" t="s">
        <v>283</v>
      </c>
      <c r="E514" s="1">
        <v>10</v>
      </c>
      <c r="F514" s="1">
        <f t="shared" si="15"/>
        <v>18419.319999999992</v>
      </c>
      <c r="H514" t="s">
        <v>314</v>
      </c>
    </row>
    <row r="515" spans="1:9" x14ac:dyDescent="0.25">
      <c r="A515" s="30">
        <v>8</v>
      </c>
      <c r="B515" s="26">
        <v>45614</v>
      </c>
      <c r="C515" s="2" t="s">
        <v>83</v>
      </c>
      <c r="D515" t="s">
        <v>283</v>
      </c>
      <c r="E515" s="1">
        <v>5</v>
      </c>
      <c r="F515" s="1">
        <f t="shared" si="15"/>
        <v>18424.319999999992</v>
      </c>
      <c r="H515" t="s">
        <v>313</v>
      </c>
    </row>
    <row r="516" spans="1:9" x14ac:dyDescent="0.25">
      <c r="A516" s="30">
        <v>8</v>
      </c>
      <c r="B516" s="26">
        <v>45614</v>
      </c>
      <c r="C516" s="2" t="s">
        <v>83</v>
      </c>
      <c r="D516" t="s">
        <v>309</v>
      </c>
      <c r="E516" s="1">
        <v>30</v>
      </c>
      <c r="F516" s="1">
        <f t="shared" si="15"/>
        <v>18454.319999999992</v>
      </c>
      <c r="H516" t="s">
        <v>315</v>
      </c>
    </row>
    <row r="517" spans="1:9" x14ac:dyDescent="0.25">
      <c r="A517" s="30">
        <v>8</v>
      </c>
      <c r="B517" s="26">
        <v>45614</v>
      </c>
      <c r="C517" s="2" t="s">
        <v>83</v>
      </c>
      <c r="D517" t="s">
        <v>311</v>
      </c>
      <c r="E517" s="1">
        <v>5</v>
      </c>
      <c r="F517" s="1">
        <f t="shared" si="15"/>
        <v>18459.319999999992</v>
      </c>
      <c r="H517" t="s">
        <v>312</v>
      </c>
    </row>
    <row r="518" spans="1:9" x14ac:dyDescent="0.25">
      <c r="A518" s="30">
        <v>8</v>
      </c>
      <c r="B518" s="26">
        <v>45614</v>
      </c>
      <c r="C518" s="2" t="s">
        <v>83</v>
      </c>
      <c r="D518" t="s">
        <v>308</v>
      </c>
      <c r="E518" s="1">
        <v>5</v>
      </c>
      <c r="F518" s="1">
        <f t="shared" si="15"/>
        <v>18464.319999999992</v>
      </c>
      <c r="H518" t="s">
        <v>316</v>
      </c>
    </row>
    <row r="519" spans="1:9" x14ac:dyDescent="0.25">
      <c r="A519" s="30">
        <v>8</v>
      </c>
      <c r="B519" s="26">
        <v>45614</v>
      </c>
      <c r="C519" s="2" t="s">
        <v>83</v>
      </c>
      <c r="D519" t="s">
        <v>310</v>
      </c>
      <c r="E519" s="1">
        <v>5</v>
      </c>
      <c r="F519" s="1">
        <f t="shared" si="15"/>
        <v>18469.319999999992</v>
      </c>
      <c r="H519" t="s">
        <v>317</v>
      </c>
    </row>
    <row r="520" spans="1:9" x14ac:dyDescent="0.25">
      <c r="A520" s="30">
        <v>8</v>
      </c>
      <c r="B520" s="26">
        <v>45614</v>
      </c>
      <c r="C520" s="2" t="s">
        <v>80</v>
      </c>
      <c r="D520" t="s">
        <v>318</v>
      </c>
      <c r="E520" s="1">
        <v>5</v>
      </c>
      <c r="F520" s="1">
        <f t="shared" si="15"/>
        <v>18474.319999999992</v>
      </c>
      <c r="H520" t="s">
        <v>319</v>
      </c>
    </row>
    <row r="521" spans="1:9" x14ac:dyDescent="0.25">
      <c r="A521" s="30">
        <v>1</v>
      </c>
      <c r="B521" s="26">
        <v>45614</v>
      </c>
      <c r="C521" s="2" t="s">
        <v>80</v>
      </c>
      <c r="D521" t="s">
        <v>92</v>
      </c>
      <c r="E521" s="1">
        <v>15</v>
      </c>
      <c r="F521" s="1">
        <f t="shared" si="15"/>
        <v>18489.319999999992</v>
      </c>
    </row>
    <row r="522" spans="1:9" x14ac:dyDescent="0.25">
      <c r="A522" s="30">
        <v>1</v>
      </c>
      <c r="B522" s="26">
        <v>45614</v>
      </c>
      <c r="C522" s="2" t="s">
        <v>80</v>
      </c>
      <c r="D522" t="s">
        <v>307</v>
      </c>
      <c r="E522" s="1">
        <v>30</v>
      </c>
      <c r="F522" s="1">
        <f t="shared" si="15"/>
        <v>18519.319999999992</v>
      </c>
    </row>
    <row r="523" spans="1:9" x14ac:dyDescent="0.25">
      <c r="A523" s="30">
        <v>19</v>
      </c>
      <c r="B523" s="26">
        <v>45614</v>
      </c>
      <c r="C523" s="2" t="s">
        <v>82</v>
      </c>
      <c r="D523" t="s">
        <v>111</v>
      </c>
      <c r="E523" s="1">
        <v>-30.83</v>
      </c>
      <c r="F523" s="1">
        <f t="shared" si="15"/>
        <v>18488.489999999991</v>
      </c>
      <c r="G523">
        <v>90</v>
      </c>
    </row>
    <row r="524" spans="1:9" x14ac:dyDescent="0.25">
      <c r="A524" s="30">
        <v>21</v>
      </c>
      <c r="B524" s="26">
        <v>45614</v>
      </c>
      <c r="C524" s="2" t="s">
        <v>82</v>
      </c>
      <c r="D524" t="s">
        <v>328</v>
      </c>
      <c r="E524" s="1">
        <v>-176.77</v>
      </c>
      <c r="F524" s="1">
        <f t="shared" si="15"/>
        <v>18311.71999999999</v>
      </c>
      <c r="G524">
        <v>91</v>
      </c>
    </row>
    <row r="525" spans="1:9" x14ac:dyDescent="0.25">
      <c r="A525" s="30">
        <v>8</v>
      </c>
      <c r="B525" s="26">
        <v>45615</v>
      </c>
      <c r="C525" s="2" t="s">
        <v>83</v>
      </c>
      <c r="D525" t="s">
        <v>325</v>
      </c>
      <c r="E525" s="1">
        <v>5</v>
      </c>
      <c r="F525" s="1">
        <f t="shared" si="15"/>
        <v>18316.71999999999</v>
      </c>
      <c r="H525" t="s">
        <v>326</v>
      </c>
    </row>
    <row r="526" spans="1:9" x14ac:dyDescent="0.25">
      <c r="A526" s="30">
        <v>1</v>
      </c>
      <c r="B526" s="26">
        <v>45615</v>
      </c>
      <c r="C526" s="2" t="s">
        <v>83</v>
      </c>
      <c r="D526" t="s">
        <v>320</v>
      </c>
      <c r="E526" s="1">
        <v>55</v>
      </c>
      <c r="F526" s="1">
        <f t="shared" si="15"/>
        <v>18371.71999999999</v>
      </c>
      <c r="I526" t="s">
        <v>400</v>
      </c>
    </row>
    <row r="527" spans="1:9" x14ac:dyDescent="0.25">
      <c r="A527" s="30">
        <v>19</v>
      </c>
      <c r="B527" s="26">
        <v>45615</v>
      </c>
      <c r="C527" s="2" t="s">
        <v>82</v>
      </c>
      <c r="D527" t="s">
        <v>276</v>
      </c>
      <c r="E527" s="1">
        <v>-690</v>
      </c>
      <c r="F527" s="1">
        <f t="shared" si="15"/>
        <v>17681.71999999999</v>
      </c>
      <c r="G527">
        <v>92</v>
      </c>
    </row>
    <row r="528" spans="1:9" x14ac:dyDescent="0.25">
      <c r="A528" s="30">
        <v>19</v>
      </c>
      <c r="B528" s="26">
        <v>45615</v>
      </c>
      <c r="C528" s="2" t="s">
        <v>82</v>
      </c>
      <c r="D528" t="s">
        <v>322</v>
      </c>
      <c r="E528" s="1">
        <v>-180</v>
      </c>
      <c r="F528" s="1">
        <f t="shared" si="15"/>
        <v>17501.71999999999</v>
      </c>
      <c r="G528">
        <v>93</v>
      </c>
    </row>
    <row r="529" spans="1:11" x14ac:dyDescent="0.25">
      <c r="A529" s="30">
        <v>12</v>
      </c>
      <c r="B529" s="26">
        <v>45616</v>
      </c>
      <c r="C529" s="2" t="s">
        <v>80</v>
      </c>
      <c r="D529" t="s">
        <v>329</v>
      </c>
      <c r="E529" s="1">
        <v>33</v>
      </c>
      <c r="F529" s="1">
        <f t="shared" si="15"/>
        <v>17534.71999999999</v>
      </c>
    </row>
    <row r="530" spans="1:11" x14ac:dyDescent="0.25">
      <c r="A530" s="30">
        <v>8</v>
      </c>
      <c r="B530" s="26">
        <v>45617</v>
      </c>
      <c r="C530" s="2" t="s">
        <v>83</v>
      </c>
      <c r="D530" t="s">
        <v>323</v>
      </c>
      <c r="E530" s="1">
        <v>10</v>
      </c>
      <c r="F530" s="1">
        <f t="shared" si="15"/>
        <v>17544.71999999999</v>
      </c>
      <c r="H530" t="s">
        <v>324</v>
      </c>
    </row>
    <row r="531" spans="1:11" x14ac:dyDescent="0.25">
      <c r="A531" s="30">
        <v>1</v>
      </c>
      <c r="B531" s="26">
        <v>45617</v>
      </c>
      <c r="C531" s="2" t="s">
        <v>80</v>
      </c>
      <c r="D531" t="s">
        <v>14</v>
      </c>
      <c r="E531" s="1">
        <v>60</v>
      </c>
      <c r="F531" s="1">
        <f t="shared" si="15"/>
        <v>17604.71999999999</v>
      </c>
    </row>
    <row r="532" spans="1:11" x14ac:dyDescent="0.25">
      <c r="A532" s="30">
        <v>13</v>
      </c>
      <c r="B532" s="26">
        <v>45617</v>
      </c>
      <c r="C532" s="2" t="s">
        <v>8</v>
      </c>
      <c r="D532" t="s">
        <v>101</v>
      </c>
      <c r="E532" s="1">
        <v>-129.44999999999999</v>
      </c>
      <c r="F532" s="1">
        <f t="shared" si="15"/>
        <v>17475.26999999999</v>
      </c>
      <c r="G532" t="s">
        <v>8</v>
      </c>
    </row>
    <row r="533" spans="1:11" x14ac:dyDescent="0.25">
      <c r="A533" s="30">
        <v>11</v>
      </c>
      <c r="B533" s="26">
        <v>45617</v>
      </c>
      <c r="C533" s="2" t="s">
        <v>8</v>
      </c>
      <c r="D533" t="s">
        <v>12</v>
      </c>
      <c r="E533" s="1">
        <v>-56.07</v>
      </c>
      <c r="F533" s="1">
        <f t="shared" si="15"/>
        <v>17419.19999999999</v>
      </c>
      <c r="G533" t="s">
        <v>8</v>
      </c>
    </row>
    <row r="534" spans="1:11" x14ac:dyDescent="0.25">
      <c r="A534" s="30">
        <v>16</v>
      </c>
      <c r="B534" s="26">
        <v>45618</v>
      </c>
      <c r="C534" s="2" t="s">
        <v>8</v>
      </c>
      <c r="D534" t="s">
        <v>160</v>
      </c>
      <c r="E534" s="1">
        <v>-11.32</v>
      </c>
      <c r="F534" s="1">
        <f t="shared" si="15"/>
        <v>17407.87999999999</v>
      </c>
      <c r="G534" t="s">
        <v>8</v>
      </c>
    </row>
    <row r="535" spans="1:11" x14ac:dyDescent="0.25">
      <c r="A535" s="30">
        <v>8</v>
      </c>
      <c r="B535" s="26">
        <v>45621</v>
      </c>
      <c r="C535" s="2" t="s">
        <v>85</v>
      </c>
      <c r="D535" t="s">
        <v>341</v>
      </c>
      <c r="E535" s="1">
        <v>5</v>
      </c>
      <c r="F535" s="1">
        <f t="shared" si="15"/>
        <v>17412.87999999999</v>
      </c>
    </row>
    <row r="536" spans="1:11" x14ac:dyDescent="0.25">
      <c r="A536" s="30">
        <v>8</v>
      </c>
      <c r="B536" s="26">
        <v>45621</v>
      </c>
      <c r="C536" s="2" t="s">
        <v>85</v>
      </c>
      <c r="D536" t="s">
        <v>342</v>
      </c>
      <c r="E536" s="1">
        <v>10</v>
      </c>
      <c r="F536" s="1">
        <f t="shared" ref="F536:F553" si="16">E536+F535</f>
        <v>17422.87999999999</v>
      </c>
    </row>
    <row r="537" spans="1:11" x14ac:dyDescent="0.25">
      <c r="A537" s="30">
        <v>8</v>
      </c>
      <c r="B537" s="26">
        <v>45621</v>
      </c>
      <c r="C537" s="2" t="s">
        <v>85</v>
      </c>
      <c r="D537" t="s">
        <v>343</v>
      </c>
      <c r="E537" s="1">
        <v>5</v>
      </c>
      <c r="F537" s="1">
        <f t="shared" si="16"/>
        <v>17427.87999999999</v>
      </c>
    </row>
    <row r="538" spans="1:11" x14ac:dyDescent="0.25">
      <c r="A538" s="30">
        <v>8</v>
      </c>
      <c r="B538" s="26">
        <v>45621</v>
      </c>
      <c r="C538" s="2" t="s">
        <v>85</v>
      </c>
      <c r="D538" t="s">
        <v>344</v>
      </c>
      <c r="E538" s="1">
        <v>5</v>
      </c>
      <c r="F538" s="1">
        <f t="shared" si="16"/>
        <v>17432.87999999999</v>
      </c>
      <c r="K538" t="s">
        <v>66</v>
      </c>
    </row>
    <row r="539" spans="1:11" x14ac:dyDescent="0.25">
      <c r="A539" s="30">
        <v>8</v>
      </c>
      <c r="B539" s="26">
        <v>45621</v>
      </c>
      <c r="C539" s="2" t="s">
        <v>85</v>
      </c>
      <c r="D539" t="s">
        <v>345</v>
      </c>
      <c r="E539" s="1">
        <v>5</v>
      </c>
      <c r="F539" s="1">
        <f t="shared" si="16"/>
        <v>17437.87999999999</v>
      </c>
      <c r="K539">
        <v>22455701</v>
      </c>
    </row>
    <row r="540" spans="1:11" x14ac:dyDescent="0.25">
      <c r="A540" s="30">
        <v>5</v>
      </c>
      <c r="B540" s="26">
        <v>45621</v>
      </c>
      <c r="C540" s="2" t="s">
        <v>85</v>
      </c>
      <c r="D540" t="s">
        <v>53</v>
      </c>
      <c r="E540" s="1">
        <v>100</v>
      </c>
      <c r="F540" s="1">
        <f t="shared" si="16"/>
        <v>17537.87999999999</v>
      </c>
      <c r="H540" t="s">
        <v>400</v>
      </c>
    </row>
    <row r="541" spans="1:11" x14ac:dyDescent="0.25">
      <c r="A541" s="30">
        <v>5</v>
      </c>
      <c r="B541" s="26">
        <v>45621</v>
      </c>
      <c r="C541" s="2" t="s">
        <v>85</v>
      </c>
      <c r="D541" t="s">
        <v>53</v>
      </c>
      <c r="E541" s="1">
        <v>30</v>
      </c>
      <c r="F541" s="1">
        <f t="shared" si="16"/>
        <v>17567.87999999999</v>
      </c>
      <c r="H541" t="s">
        <v>400</v>
      </c>
    </row>
    <row r="542" spans="1:11" x14ac:dyDescent="0.25">
      <c r="A542" s="30">
        <v>1</v>
      </c>
      <c r="B542" s="26">
        <v>45621</v>
      </c>
      <c r="C542" s="2" t="s">
        <v>83</v>
      </c>
      <c r="D542" t="s">
        <v>340</v>
      </c>
      <c r="E542" s="1">
        <v>40</v>
      </c>
      <c r="F542" s="1">
        <f t="shared" si="16"/>
        <v>17607.87999999999</v>
      </c>
      <c r="H542" t="s">
        <v>400</v>
      </c>
    </row>
    <row r="543" spans="1:11" x14ac:dyDescent="0.25">
      <c r="A543" s="30">
        <v>1</v>
      </c>
      <c r="B543" s="26">
        <v>45621</v>
      </c>
      <c r="C543" s="2" t="s">
        <v>83</v>
      </c>
      <c r="D543" t="s">
        <v>153</v>
      </c>
      <c r="E543" s="1">
        <v>120</v>
      </c>
      <c r="F543" s="1">
        <f t="shared" si="16"/>
        <v>17727.87999999999</v>
      </c>
      <c r="K543" t="s">
        <v>126</v>
      </c>
    </row>
    <row r="544" spans="1:11" x14ac:dyDescent="0.25">
      <c r="A544" s="30">
        <v>1</v>
      </c>
      <c r="B544" s="26">
        <v>45621</v>
      </c>
      <c r="C544" s="2" t="s">
        <v>83</v>
      </c>
      <c r="D544" t="s">
        <v>95</v>
      </c>
      <c r="E544" s="1">
        <v>90</v>
      </c>
      <c r="F544" s="1">
        <f t="shared" si="16"/>
        <v>17817.87999999999</v>
      </c>
      <c r="J544" s="26">
        <v>45261</v>
      </c>
      <c r="K544">
        <v>57426.86</v>
      </c>
    </row>
    <row r="545" spans="1:12" x14ac:dyDescent="0.25">
      <c r="A545" s="30">
        <v>1</v>
      </c>
      <c r="B545" s="26">
        <v>45621</v>
      </c>
      <c r="C545" s="2" t="s">
        <v>83</v>
      </c>
      <c r="D545" t="s">
        <v>97</v>
      </c>
      <c r="E545" s="1">
        <v>30</v>
      </c>
      <c r="F545" s="1">
        <f t="shared" si="16"/>
        <v>17847.87999999999</v>
      </c>
      <c r="J545" s="26">
        <v>45626</v>
      </c>
      <c r="K545">
        <v>59388.98</v>
      </c>
    </row>
    <row r="546" spans="1:12" x14ac:dyDescent="0.25">
      <c r="A546" s="30">
        <v>1</v>
      </c>
      <c r="B546" s="26">
        <v>45621</v>
      </c>
      <c r="C546" s="2" t="s">
        <v>83</v>
      </c>
      <c r="D546" t="s">
        <v>331</v>
      </c>
      <c r="E546" s="1">
        <v>55</v>
      </c>
      <c r="F546" s="1">
        <f t="shared" si="16"/>
        <v>17902.87999999999</v>
      </c>
      <c r="H546" t="s">
        <v>400</v>
      </c>
    </row>
    <row r="547" spans="1:12" x14ac:dyDescent="0.25">
      <c r="A547" s="30">
        <v>8</v>
      </c>
      <c r="B547" s="26">
        <v>45621</v>
      </c>
      <c r="C547" s="2" t="s">
        <v>82</v>
      </c>
      <c r="D547" t="s">
        <v>333</v>
      </c>
      <c r="E547" s="1">
        <v>-29.95</v>
      </c>
      <c r="F547" s="1">
        <f t="shared" si="16"/>
        <v>17872.929999999989</v>
      </c>
      <c r="G547">
        <v>94</v>
      </c>
      <c r="K547" t="s">
        <v>127</v>
      </c>
    </row>
    <row r="548" spans="1:12" x14ac:dyDescent="0.25">
      <c r="A548" s="30">
        <v>19</v>
      </c>
      <c r="B548" s="26">
        <v>45621</v>
      </c>
      <c r="C548" s="2" t="s">
        <v>82</v>
      </c>
      <c r="D548" t="s">
        <v>121</v>
      </c>
      <c r="E548" s="1">
        <v>-175</v>
      </c>
      <c r="F548" s="1">
        <f t="shared" si="16"/>
        <v>17697.929999999989</v>
      </c>
      <c r="G548">
        <v>95</v>
      </c>
      <c r="J548" s="26">
        <v>45261</v>
      </c>
      <c r="K548">
        <v>10041.86</v>
      </c>
    </row>
    <row r="549" spans="1:12" x14ac:dyDescent="0.25">
      <c r="A549" s="30">
        <v>15</v>
      </c>
      <c r="B549" s="26">
        <v>45621</v>
      </c>
      <c r="C549" s="2" t="s">
        <v>82</v>
      </c>
      <c r="D549" t="s">
        <v>112</v>
      </c>
      <c r="E549" s="1">
        <v>-612.5</v>
      </c>
      <c r="F549" s="1">
        <f t="shared" si="16"/>
        <v>17085.429999999989</v>
      </c>
      <c r="G549">
        <v>96</v>
      </c>
      <c r="J549" s="26">
        <v>45626</v>
      </c>
      <c r="K549">
        <v>40649.72</v>
      </c>
    </row>
    <row r="550" spans="1:12" x14ac:dyDescent="0.25">
      <c r="A550" s="30">
        <v>19</v>
      </c>
      <c r="B550" s="26">
        <v>45621</v>
      </c>
      <c r="C550" s="2" t="s">
        <v>82</v>
      </c>
      <c r="D550" t="s">
        <v>111</v>
      </c>
      <c r="E550" s="1">
        <v>-57.93</v>
      </c>
      <c r="F550" s="1">
        <f t="shared" si="16"/>
        <v>17027.499999999989</v>
      </c>
      <c r="G550">
        <v>97</v>
      </c>
    </row>
    <row r="551" spans="1:12" x14ac:dyDescent="0.25">
      <c r="A551" s="30">
        <v>8</v>
      </c>
      <c r="B551" s="26">
        <v>45623</v>
      </c>
      <c r="C551" s="2">
        <v>101176</v>
      </c>
      <c r="D551" t="s">
        <v>334</v>
      </c>
      <c r="E551" s="1">
        <v>940</v>
      </c>
      <c r="F551" s="1">
        <f t="shared" si="16"/>
        <v>17967.499999999989</v>
      </c>
    </row>
    <row r="552" spans="1:12" x14ac:dyDescent="0.25">
      <c r="A552" s="30">
        <v>8</v>
      </c>
      <c r="B552" s="26">
        <v>45623</v>
      </c>
      <c r="C552" s="2" t="s">
        <v>83</v>
      </c>
      <c r="D552" t="s">
        <v>335</v>
      </c>
      <c r="E552" s="1">
        <v>30.44</v>
      </c>
      <c r="F552" s="1">
        <f t="shared" si="16"/>
        <v>17997.939999999988</v>
      </c>
    </row>
    <row r="553" spans="1:12" x14ac:dyDescent="0.25">
      <c r="A553" s="30">
        <v>1</v>
      </c>
      <c r="B553" s="26">
        <v>45626</v>
      </c>
      <c r="C553" s="2" t="s">
        <v>80</v>
      </c>
      <c r="D553" t="s">
        <v>88</v>
      </c>
      <c r="E553" s="1">
        <v>1000</v>
      </c>
      <c r="F553" s="1">
        <f t="shared" si="16"/>
        <v>18997.939999999988</v>
      </c>
    </row>
    <row r="554" spans="1:12" x14ac:dyDescent="0.25">
      <c r="B554" s="26"/>
      <c r="E554" s="1"/>
      <c r="F554" s="1"/>
    </row>
    <row r="555" spans="1:12" x14ac:dyDescent="0.25">
      <c r="B555" s="26"/>
      <c r="E555" s="1"/>
      <c r="F555" s="1"/>
    </row>
    <row r="556" spans="1:12" x14ac:dyDescent="0.25">
      <c r="B556" s="26"/>
      <c r="E556" s="1"/>
      <c r="F556" s="1"/>
    </row>
    <row r="557" spans="1:12" x14ac:dyDescent="0.25">
      <c r="B557" s="26"/>
      <c r="E557" s="1"/>
      <c r="F557" s="1"/>
      <c r="K557" s="9">
        <v>10442.879999999999</v>
      </c>
      <c r="L557" t="s">
        <v>337</v>
      </c>
    </row>
    <row r="558" spans="1:12" x14ac:dyDescent="0.25">
      <c r="E558" s="1"/>
      <c r="F558" s="1"/>
      <c r="K558" s="1">
        <v>17797.939999999999</v>
      </c>
      <c r="L558" t="s">
        <v>338</v>
      </c>
    </row>
    <row r="559" spans="1:12" x14ac:dyDescent="0.25">
      <c r="D559" t="s">
        <v>51</v>
      </c>
      <c r="E559" s="1"/>
      <c r="F559" s="1"/>
      <c r="K559" s="1">
        <f>K558-K557</f>
        <v>7355.0599999999995</v>
      </c>
      <c r="L559" t="s">
        <v>336</v>
      </c>
    </row>
    <row r="560" spans="1:12" x14ac:dyDescent="0.25">
      <c r="E560" s="1"/>
      <c r="F560" s="1"/>
      <c r="K560" s="1"/>
    </row>
    <row r="561" spans="4:11" x14ac:dyDescent="0.25">
      <c r="E561" s="1"/>
      <c r="F561" s="1"/>
    </row>
    <row r="562" spans="4:11" x14ac:dyDescent="0.25">
      <c r="E562" s="1"/>
      <c r="F562" s="1"/>
    </row>
    <row r="563" spans="4:11" x14ac:dyDescent="0.25">
      <c r="D563" t="s">
        <v>51</v>
      </c>
      <c r="E563" s="1"/>
      <c r="F563" s="1"/>
      <c r="K563" s="49"/>
    </row>
    <row r="564" spans="4:11" x14ac:dyDescent="0.25">
      <c r="E564" s="1"/>
      <c r="F564" s="1"/>
    </row>
    <row r="565" spans="4:11" x14ac:dyDescent="0.25">
      <c r="E565" s="1"/>
      <c r="F565" s="1"/>
    </row>
    <row r="566" spans="4:11" x14ac:dyDescent="0.25">
      <c r="E566" s="1"/>
      <c r="F566" s="1"/>
      <c r="K566">
        <v>4565</v>
      </c>
    </row>
    <row r="567" spans="4:11" x14ac:dyDescent="0.25">
      <c r="E567" s="1"/>
      <c r="F567" s="1"/>
    </row>
    <row r="568" spans="4:11" x14ac:dyDescent="0.25">
      <c r="E568" s="1"/>
      <c r="F568" s="1"/>
    </row>
    <row r="569" spans="4:11" x14ac:dyDescent="0.25">
      <c r="E569" s="1"/>
      <c r="F569" s="1"/>
    </row>
    <row r="570" spans="4:11" x14ac:dyDescent="0.25">
      <c r="E570" s="1"/>
      <c r="F570" s="1"/>
    </row>
    <row r="571" spans="4:11" x14ac:dyDescent="0.25">
      <c r="E571" s="1"/>
      <c r="F571" s="1"/>
    </row>
    <row r="572" spans="4:11" x14ac:dyDescent="0.25">
      <c r="E572" s="1"/>
      <c r="F572" s="1"/>
    </row>
    <row r="573" spans="4:11" x14ac:dyDescent="0.25">
      <c r="E573" s="1"/>
      <c r="F573" s="1"/>
    </row>
    <row r="574" spans="4:11" x14ac:dyDescent="0.25">
      <c r="E574" s="1"/>
      <c r="F574" s="1"/>
    </row>
    <row r="575" spans="4:11" x14ac:dyDescent="0.25">
      <c r="E575" s="1"/>
      <c r="F575" s="1"/>
    </row>
    <row r="576" spans="4:11" x14ac:dyDescent="0.25">
      <c r="E576" s="1"/>
      <c r="F576" s="1"/>
    </row>
    <row r="577" spans="5:6" x14ac:dyDescent="0.25">
      <c r="E577" s="1"/>
      <c r="F577" s="1"/>
    </row>
    <row r="578" spans="5:6" x14ac:dyDescent="0.25">
      <c r="E578" s="1"/>
      <c r="F578" s="1"/>
    </row>
    <row r="579" spans="5:6" x14ac:dyDescent="0.25">
      <c r="E579" s="1"/>
      <c r="F579" s="1"/>
    </row>
    <row r="580" spans="5:6" x14ac:dyDescent="0.25">
      <c r="E580" s="1"/>
      <c r="F580" s="1"/>
    </row>
    <row r="581" spans="5:6" x14ac:dyDescent="0.25">
      <c r="E581" s="1"/>
      <c r="F581" s="1"/>
    </row>
    <row r="582" spans="5:6" x14ac:dyDescent="0.25">
      <c r="E582" s="1"/>
      <c r="F582" s="1"/>
    </row>
    <row r="583" spans="5:6" x14ac:dyDescent="0.25">
      <c r="E583" s="1"/>
      <c r="F583" s="1"/>
    </row>
    <row r="584" spans="5:6" x14ac:dyDescent="0.25">
      <c r="E584" s="1"/>
      <c r="F584" s="1"/>
    </row>
    <row r="585" spans="5:6" x14ac:dyDescent="0.25">
      <c r="E585" s="1"/>
      <c r="F585" s="1"/>
    </row>
    <row r="586" spans="5:6" x14ac:dyDescent="0.25">
      <c r="E586" s="1"/>
      <c r="F586" s="1"/>
    </row>
    <row r="587" spans="5:6" x14ac:dyDescent="0.25">
      <c r="E587" s="1"/>
      <c r="F587" s="1"/>
    </row>
    <row r="588" spans="5:6" x14ac:dyDescent="0.25">
      <c r="E588" s="1"/>
      <c r="F588" s="1"/>
    </row>
    <row r="589" spans="5:6" x14ac:dyDescent="0.25">
      <c r="E589" s="1"/>
      <c r="F589" s="1"/>
    </row>
    <row r="590" spans="5:6" x14ac:dyDescent="0.25">
      <c r="E590" s="1"/>
      <c r="F590" s="1"/>
    </row>
    <row r="591" spans="5:6" x14ac:dyDescent="0.25">
      <c r="E591" s="1"/>
      <c r="F591" s="1"/>
    </row>
    <row r="592" spans="5:6" x14ac:dyDescent="0.25">
      <c r="E592" s="1"/>
      <c r="F592" s="1"/>
    </row>
    <row r="593" spans="5:6" x14ac:dyDescent="0.25">
      <c r="E593" s="1"/>
      <c r="F593" s="1"/>
    </row>
    <row r="594" spans="5:6" x14ac:dyDescent="0.25">
      <c r="E594" s="1"/>
      <c r="F594" s="1"/>
    </row>
    <row r="595" spans="5:6" x14ac:dyDescent="0.25">
      <c r="E595" s="1"/>
      <c r="F595" s="1"/>
    </row>
    <row r="596" spans="5:6" x14ac:dyDescent="0.25">
      <c r="E596" s="1"/>
      <c r="F596" s="1"/>
    </row>
    <row r="597" spans="5:6" x14ac:dyDescent="0.25">
      <c r="E597" s="1"/>
      <c r="F597" s="1"/>
    </row>
    <row r="598" spans="5:6" x14ac:dyDescent="0.25">
      <c r="E598" s="1"/>
      <c r="F598" s="1"/>
    </row>
    <row r="599" spans="5:6" x14ac:dyDescent="0.25">
      <c r="E599" s="1"/>
      <c r="F599" s="1"/>
    </row>
    <row r="600" spans="5:6" x14ac:dyDescent="0.25">
      <c r="E600" s="1"/>
      <c r="F600" s="1"/>
    </row>
    <row r="601" spans="5:6" x14ac:dyDescent="0.25">
      <c r="E601" s="1"/>
      <c r="F601" s="1"/>
    </row>
    <row r="602" spans="5:6" x14ac:dyDescent="0.25">
      <c r="E602" s="1"/>
      <c r="F602" s="1"/>
    </row>
    <row r="603" spans="5:6" x14ac:dyDescent="0.25">
      <c r="E603" s="1"/>
      <c r="F603" s="1"/>
    </row>
    <row r="604" spans="5:6" x14ac:dyDescent="0.25">
      <c r="E604" s="1"/>
      <c r="F604" s="1"/>
    </row>
    <row r="605" spans="5:6" x14ac:dyDescent="0.25">
      <c r="E605" s="1"/>
      <c r="F605" s="1"/>
    </row>
    <row r="606" spans="5:6" x14ac:dyDescent="0.25">
      <c r="E606" s="1"/>
      <c r="F606" s="1"/>
    </row>
    <row r="607" spans="5:6" x14ac:dyDescent="0.25">
      <c r="E607" s="1"/>
      <c r="F607" s="1"/>
    </row>
    <row r="608" spans="5:6" x14ac:dyDescent="0.25">
      <c r="E608" s="1"/>
      <c r="F608" s="1"/>
    </row>
  </sheetData>
  <autoFilter ref="D2:D608" xr:uid="{4B73E554-0947-41D9-AEB0-9C37F729AB8B}"/>
  <sortState xmlns:xlrd2="http://schemas.microsoft.com/office/spreadsheetml/2017/richdata2" ref="V88:X102">
    <sortCondition ref="V88:V102"/>
  </sortState>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66A18-866C-4AFD-BC0C-36940D64D8A6}">
  <dimension ref="A3:AF66"/>
  <sheetViews>
    <sheetView workbookViewId="0">
      <selection activeCell="O39" sqref="O39"/>
    </sheetView>
  </sheetViews>
  <sheetFormatPr defaultRowHeight="15" x14ac:dyDescent="0.25"/>
  <cols>
    <col min="2" max="2" width="4.5703125" customWidth="1"/>
    <col min="3" max="3" width="14.28515625" customWidth="1"/>
    <col min="4" max="5" width="7.7109375" customWidth="1"/>
    <col min="6" max="7" width="5.7109375" customWidth="1"/>
    <col min="8" max="9" width="7.7109375" customWidth="1"/>
    <col min="10" max="11" width="5.7109375" customWidth="1"/>
    <col min="12" max="13" width="7.7109375" customWidth="1"/>
    <col min="14" max="15" width="5.7109375" customWidth="1"/>
    <col min="16" max="17" width="7.7109375" customWidth="1"/>
    <col min="18" max="19" width="5.7109375" customWidth="1"/>
    <col min="20" max="21" width="7.7109375" customWidth="1"/>
    <col min="22" max="22" width="6.7109375" customWidth="1"/>
    <col min="23" max="23" width="9" customWidth="1"/>
  </cols>
  <sheetData>
    <row r="3" spans="1:32" x14ac:dyDescent="0.25">
      <c r="D3" s="82" t="s">
        <v>140</v>
      </c>
      <c r="E3" s="82"/>
      <c r="F3" s="82"/>
      <c r="G3" s="82"/>
      <c r="H3" s="82"/>
      <c r="I3" s="82"/>
      <c r="J3" s="82"/>
      <c r="K3" s="82"/>
      <c r="L3" s="82"/>
      <c r="M3" s="82"/>
      <c r="N3" s="82"/>
      <c r="O3" s="82"/>
      <c r="P3" s="82"/>
      <c r="Q3" s="82"/>
      <c r="R3" s="82"/>
      <c r="S3" s="82"/>
      <c r="T3" s="82"/>
      <c r="U3" s="82"/>
      <c r="V3" s="82"/>
      <c r="W3" s="82"/>
    </row>
    <row r="4" spans="1:32" x14ac:dyDescent="0.25">
      <c r="B4" s="28"/>
      <c r="C4" s="24" t="s">
        <v>29</v>
      </c>
      <c r="D4" s="19" t="s">
        <v>135</v>
      </c>
      <c r="E4" s="19" t="s">
        <v>136</v>
      </c>
      <c r="F4" s="20" t="s">
        <v>25</v>
      </c>
      <c r="G4" s="21" t="s">
        <v>26</v>
      </c>
      <c r="H4" s="19" t="s">
        <v>199</v>
      </c>
      <c r="I4" s="19" t="s">
        <v>200</v>
      </c>
      <c r="J4" s="20" t="s">
        <v>25</v>
      </c>
      <c r="K4" s="21" t="s">
        <v>26</v>
      </c>
      <c r="L4" s="42" t="s">
        <v>210</v>
      </c>
      <c r="M4" s="42" t="s">
        <v>211</v>
      </c>
      <c r="N4" s="43" t="s">
        <v>25</v>
      </c>
      <c r="O4" s="44" t="s">
        <v>26</v>
      </c>
      <c r="P4" s="19" t="s">
        <v>212</v>
      </c>
      <c r="Q4" s="19" t="s">
        <v>213</v>
      </c>
      <c r="R4" s="20" t="s">
        <v>25</v>
      </c>
      <c r="S4" s="21" t="s">
        <v>26</v>
      </c>
      <c r="T4" s="19" t="s">
        <v>103</v>
      </c>
      <c r="U4" s="19" t="s">
        <v>141</v>
      </c>
      <c r="V4" s="20" t="s">
        <v>25</v>
      </c>
      <c r="W4" s="21" t="s">
        <v>26</v>
      </c>
    </row>
    <row r="5" spans="1:32" x14ac:dyDescent="0.25">
      <c r="B5" s="23">
        <v>1</v>
      </c>
      <c r="C5" s="32" t="s">
        <v>17</v>
      </c>
      <c r="D5" s="15">
        <v>6182.5</v>
      </c>
      <c r="E5" s="15">
        <f>SUMIF('2023-24 in&amp;out'!A4:A158,"1",'2023-24 in&amp;out'!E4:E158)</f>
        <v>5650</v>
      </c>
      <c r="F5" s="15"/>
      <c r="G5" s="34"/>
      <c r="H5" s="15">
        <v>4885</v>
      </c>
      <c r="I5" s="15">
        <f>SUMIF('2023-24 in&amp;out'!A159:A283,"1",'2023-24 in&amp;out'!E159:E283)</f>
        <v>6575</v>
      </c>
      <c r="J5" s="15"/>
      <c r="K5" s="34"/>
      <c r="L5" s="15">
        <v>3925</v>
      </c>
      <c r="M5" s="15">
        <f ca="1">SUMIF('2023-24 in&amp;out'!A284:E404,"1",'2023-24 in&amp;out'!E284:E404)</f>
        <v>3618.38</v>
      </c>
      <c r="N5" s="15"/>
      <c r="O5" s="34"/>
      <c r="P5" s="15">
        <v>4870</v>
      </c>
      <c r="Q5" s="15">
        <f>SUMIF('2023-24 in&amp;out'!A405:A604,"1",'2023-24 in&amp;out'!E405:E604)</f>
        <v>6665</v>
      </c>
      <c r="R5" s="15"/>
      <c r="S5" s="33"/>
      <c r="T5" s="15">
        <v>19862.5</v>
      </c>
      <c r="U5" s="15">
        <f ca="1">E5+I5+M5+Q5</f>
        <v>22508.38</v>
      </c>
      <c r="V5" s="15">
        <f ca="1">U5-T5</f>
        <v>2645.880000000001</v>
      </c>
      <c r="W5" s="34">
        <f ca="1">V5/T5</f>
        <v>0.1332098174952801</v>
      </c>
    </row>
    <row r="6" spans="1:32" x14ac:dyDescent="0.25">
      <c r="B6" s="23">
        <v>2</v>
      </c>
      <c r="C6" s="32" t="s">
        <v>16</v>
      </c>
      <c r="D6" s="15">
        <v>0</v>
      </c>
      <c r="E6" s="15">
        <f>SUMIF('2023-24 in&amp;out'!A4:A158,"2",'2023-24 in&amp;out'!E4:E158)</f>
        <v>0</v>
      </c>
      <c r="F6" s="15"/>
      <c r="G6" s="34"/>
      <c r="H6" s="15">
        <v>0</v>
      </c>
      <c r="I6" s="15">
        <f>SUMIF('2023-24 in&amp;out'!A159:A283,"2",'2023-24 in&amp;out'!E159:E283)</f>
        <v>0</v>
      </c>
      <c r="J6" s="15"/>
      <c r="K6" s="34"/>
      <c r="L6" s="15">
        <v>0</v>
      </c>
      <c r="M6" s="15">
        <f ca="1">SUMIF('2023-24 in&amp;out'!A284:E404,"2",'2023-24 in&amp;out'!E284:E404)</f>
        <v>0</v>
      </c>
      <c r="N6" s="15"/>
      <c r="O6" s="34"/>
      <c r="P6" s="15">
        <v>-110</v>
      </c>
      <c r="Q6" s="15">
        <f>SUMIF('2023-24 in&amp;out'!A405:A604,"2",'2023-24 in&amp;out'!E405:E604)</f>
        <v>0</v>
      </c>
      <c r="R6" s="15"/>
      <c r="S6" s="33"/>
      <c r="T6" s="15">
        <v>-110</v>
      </c>
      <c r="U6" s="15">
        <f ca="1">E6+I6+M6+Q6</f>
        <v>0</v>
      </c>
      <c r="V6" s="15">
        <f t="shared" ref="V6:V30" ca="1" si="0">U6-T6</f>
        <v>110</v>
      </c>
      <c r="W6" s="34">
        <f t="shared" ref="W6:W33" ca="1" si="1">V6/T6</f>
        <v>-1</v>
      </c>
    </row>
    <row r="7" spans="1:32" x14ac:dyDescent="0.25">
      <c r="B7" s="23"/>
      <c r="C7" s="17" t="s">
        <v>18</v>
      </c>
      <c r="D7" s="54">
        <v>6182.5</v>
      </c>
      <c r="E7" s="54">
        <f>E5+E6</f>
        <v>5650</v>
      </c>
      <c r="F7" s="55">
        <f t="shared" ref="F7:F14" si="2">E7-D7</f>
        <v>-532.5</v>
      </c>
      <c r="G7" s="56">
        <f>F7/D7</f>
        <v>-8.6130206227254341E-2</v>
      </c>
      <c r="H7" s="54">
        <v>4885</v>
      </c>
      <c r="I7" s="54">
        <f>I5+I6</f>
        <v>6575</v>
      </c>
      <c r="J7" s="55">
        <f t="shared" ref="J7:J14" si="3">I7-H7</f>
        <v>1690</v>
      </c>
      <c r="K7" s="56">
        <f>J7/H7</f>
        <v>0.345957011258956</v>
      </c>
      <c r="L7" s="54">
        <v>3925</v>
      </c>
      <c r="M7" s="54">
        <f ca="1">M5+M6</f>
        <v>3618.38</v>
      </c>
      <c r="N7" s="54">
        <f ca="1">M7-L7</f>
        <v>-306.61999999999989</v>
      </c>
      <c r="O7" s="56">
        <f ca="1">N7/L7</f>
        <v>-7.8119745222929915E-2</v>
      </c>
      <c r="P7" s="54">
        <v>4760</v>
      </c>
      <c r="Q7" s="54">
        <f>Q5+Q6</f>
        <v>6665</v>
      </c>
      <c r="R7" s="55">
        <f t="shared" ref="R7" si="4">Q7-P7</f>
        <v>1905</v>
      </c>
      <c r="S7" s="56">
        <f>R7/P7</f>
        <v>0.40021008403361347</v>
      </c>
      <c r="T7" s="54">
        <v>19752.5</v>
      </c>
      <c r="U7" s="54">
        <f t="shared" ref="U7:U30" ca="1" si="5">E7+I7+M7+Q7</f>
        <v>22508.38</v>
      </c>
      <c r="V7" s="15">
        <f t="shared" ca="1" si="0"/>
        <v>2755.880000000001</v>
      </c>
      <c r="W7" s="34">
        <f t="shared" ca="1" si="1"/>
        <v>0.13952056701683335</v>
      </c>
    </row>
    <row r="8" spans="1:32" x14ac:dyDescent="0.25">
      <c r="B8" s="23">
        <v>3</v>
      </c>
      <c r="C8" s="32" t="s">
        <v>19</v>
      </c>
      <c r="D8" s="15">
        <v>250</v>
      </c>
      <c r="E8" s="15">
        <f>SUMIF('2023-24 in&amp;out'!A4:A158,"3",'2023-24 in&amp;out'!E4:E158)</f>
        <v>0</v>
      </c>
      <c r="F8" s="15"/>
      <c r="G8" s="56"/>
      <c r="H8" s="15">
        <v>0</v>
      </c>
      <c r="I8" s="15">
        <f>SUMIF('2023-24 in&amp;out'!A159:A283,"3",'2023-24 in&amp;out'!E159:E283)</f>
        <v>0</v>
      </c>
      <c r="J8" s="15"/>
      <c r="K8" s="34"/>
      <c r="L8" s="15">
        <v>0</v>
      </c>
      <c r="M8" s="15">
        <f ca="1">SUMIF('2023-24 in&amp;out'!A284:E404,"3",'2023-24 in&amp;out'!E284:E404)</f>
        <v>9600</v>
      </c>
      <c r="N8" s="15"/>
      <c r="O8" s="34"/>
      <c r="P8" s="15">
        <v>440</v>
      </c>
      <c r="Q8" s="15">
        <f>SUMIF('2023-24 in&amp;out'!A405:A604,"3",'2023-24 in&amp;out'!E405:E604)</f>
        <v>0</v>
      </c>
      <c r="R8" s="15"/>
      <c r="S8" s="33"/>
      <c r="T8" s="15">
        <v>690</v>
      </c>
      <c r="U8" s="15">
        <f t="shared" ca="1" si="5"/>
        <v>9600</v>
      </c>
      <c r="V8" s="15">
        <f t="shared" ca="1" si="0"/>
        <v>8910</v>
      </c>
      <c r="W8" s="34">
        <f t="shared" ca="1" si="1"/>
        <v>12.913043478260869</v>
      </c>
    </row>
    <row r="9" spans="1:32" x14ac:dyDescent="0.25">
      <c r="B9" s="23">
        <v>4</v>
      </c>
      <c r="C9" s="32" t="s">
        <v>22</v>
      </c>
      <c r="D9" s="15">
        <v>0</v>
      </c>
      <c r="E9" s="15">
        <f>SUMIF('2023-24 in&amp;out'!A4:A158,"4",'2023-24 in&amp;out'!E4:E158)</f>
        <v>0</v>
      </c>
      <c r="F9" s="15"/>
      <c r="G9" s="34"/>
      <c r="H9" s="15">
        <v>1569.38</v>
      </c>
      <c r="I9" s="15">
        <f>SUMIF('2023-24 in&amp;out'!A159:A283,"4",'2023-24 in&amp;out'!E159:E283)</f>
        <v>300</v>
      </c>
      <c r="J9" s="15"/>
      <c r="K9" s="34"/>
      <c r="L9" s="15">
        <v>0</v>
      </c>
      <c r="M9" s="15">
        <f ca="1">SUMIF('2023-24 in&amp;out'!A284:E404,"4",'2023-24 in&amp;out'!E284:E404)</f>
        <v>0</v>
      </c>
      <c r="N9" s="15"/>
      <c r="O9" s="34"/>
      <c r="P9" s="15">
        <v>1301.1199999999999</v>
      </c>
      <c r="Q9" s="15">
        <f>SUMIF('2023-24 in&amp;out'!A405:A604,"4",'2023-24 in&amp;out'!E405:E604)</f>
        <v>1333.65</v>
      </c>
      <c r="R9" s="15"/>
      <c r="S9" s="33"/>
      <c r="T9" s="15">
        <v>2870.5</v>
      </c>
      <c r="U9" s="15">
        <f t="shared" ca="1" si="5"/>
        <v>1633.65</v>
      </c>
      <c r="V9" s="15">
        <f t="shared" ca="1" si="0"/>
        <v>-1236.8499999999999</v>
      </c>
      <c r="W9" s="34">
        <f t="shared" ca="1" si="1"/>
        <v>-0.4308831214074203</v>
      </c>
      <c r="Y9" s="11"/>
    </row>
    <row r="10" spans="1:32" x14ac:dyDescent="0.25">
      <c r="B10" s="23">
        <v>5</v>
      </c>
      <c r="C10" s="32" t="s">
        <v>36</v>
      </c>
      <c r="D10" s="15">
        <v>115</v>
      </c>
      <c r="E10" s="15">
        <f>SUMIF('2023-24 in&amp;out'!A4:A158,"5",'2023-24 in&amp;out'!E4:E158)</f>
        <v>200</v>
      </c>
      <c r="F10" s="15"/>
      <c r="G10" s="34"/>
      <c r="H10" s="15">
        <v>0</v>
      </c>
      <c r="I10" s="15">
        <f>SUMIF('2023-24 in&amp;out'!A159:A283,"5",'2023-24 in&amp;out'!E159:E283)</f>
        <v>0</v>
      </c>
      <c r="J10" s="15"/>
      <c r="K10" s="34"/>
      <c r="L10" s="15">
        <v>0</v>
      </c>
      <c r="M10" s="15">
        <f ca="1">SUMIF('2023-24 in&amp;out'!A284:E404,"5",'2023-24 in&amp;out'!E284:E404)</f>
        <v>0</v>
      </c>
      <c r="N10" s="15"/>
      <c r="O10" s="34"/>
      <c r="P10" s="15">
        <v>817</v>
      </c>
      <c r="Q10" s="15">
        <f>SUMIF('2023-24 in&amp;out'!A405:A604,"5",'2023-24 in&amp;out'!E405:E604)</f>
        <v>380</v>
      </c>
      <c r="R10" s="15"/>
      <c r="S10" s="33"/>
      <c r="T10" s="15">
        <v>932</v>
      </c>
      <c r="U10" s="15">
        <f t="shared" ca="1" si="5"/>
        <v>580</v>
      </c>
      <c r="V10" s="15">
        <f t="shared" ca="1" si="0"/>
        <v>-352</v>
      </c>
      <c r="W10" s="34">
        <f t="shared" ca="1" si="1"/>
        <v>-0.37768240343347642</v>
      </c>
      <c r="Y10" s="11"/>
      <c r="AF10" t="s">
        <v>51</v>
      </c>
    </row>
    <row r="11" spans="1:32" x14ac:dyDescent="0.25">
      <c r="A11" t="s">
        <v>76</v>
      </c>
      <c r="B11" s="23">
        <v>6</v>
      </c>
      <c r="C11" s="32" t="s">
        <v>24</v>
      </c>
      <c r="D11" s="15">
        <v>0</v>
      </c>
      <c r="E11" s="15">
        <f>SUMIF('2023-24 in&amp;out'!A4:A158,"6",'2023-24 in&amp;out'!E4:E158)</f>
        <v>0</v>
      </c>
      <c r="F11" s="15"/>
      <c r="G11" s="34"/>
      <c r="H11" s="15">
        <v>0</v>
      </c>
      <c r="I11" s="15">
        <f>SUMIF('2023-24 in&amp;out'!A159:A283,"6",'2023-24 in&amp;out'!E159:E283)</f>
        <v>0</v>
      </c>
      <c r="J11" s="15"/>
      <c r="K11" s="34"/>
      <c r="L11" s="15">
        <v>0</v>
      </c>
      <c r="M11" s="15">
        <f ca="1">SUMIF('2023-24 in&amp;out'!A284:E404,"6",'2023-24 in&amp;out'!E284:E404)</f>
        <v>-40000</v>
      </c>
      <c r="N11" s="15"/>
      <c r="O11" s="34"/>
      <c r="P11" s="15">
        <v>0</v>
      </c>
      <c r="Q11" s="15">
        <f>SUMIF('2023-24 in&amp;out'!A405:A604,"6",'2023-24 in&amp;out'!E405:E604)</f>
        <v>10000</v>
      </c>
      <c r="R11" s="15"/>
      <c r="S11" s="33"/>
      <c r="T11" s="15">
        <v>0</v>
      </c>
      <c r="U11" s="15">
        <v>-26946</v>
      </c>
      <c r="V11" s="15">
        <f t="shared" si="0"/>
        <v>-26946</v>
      </c>
      <c r="W11" s="34"/>
    </row>
    <row r="12" spans="1:32" x14ac:dyDescent="0.25">
      <c r="B12" s="23">
        <v>7</v>
      </c>
      <c r="C12" s="32" t="s">
        <v>20</v>
      </c>
      <c r="D12" s="15">
        <v>5</v>
      </c>
      <c r="E12" s="15">
        <f>SUMIF('2023-24 in&amp;out'!A4:A158,"7",'2023-24 in&amp;out'!E4:E158)</f>
        <v>0</v>
      </c>
      <c r="F12" s="15"/>
      <c r="G12" s="34"/>
      <c r="H12" s="15">
        <v>0</v>
      </c>
      <c r="I12" s="15">
        <f>SUMIF('2023-24 in&amp;out'!A159:A283,"7",'2023-24 in&amp;out'!E159:E283)</f>
        <v>0</v>
      </c>
      <c r="J12" s="15"/>
      <c r="K12" s="34"/>
      <c r="L12" s="15">
        <v>15</v>
      </c>
      <c r="M12" s="15">
        <f ca="1">SUMIF('2023-24 in&amp;out'!A284:E404,"7",'2023-24 in&amp;out'!E284:E404)</f>
        <v>49000</v>
      </c>
      <c r="N12" s="15"/>
      <c r="O12" s="34"/>
      <c r="P12" s="15">
        <v>1612.3100000000002</v>
      </c>
      <c r="Q12" s="15">
        <f>SUMIF('2023-24 in&amp;out'!A405:A604,"7",'2023-24 in&amp;out'!E405:E604)</f>
        <v>0</v>
      </c>
      <c r="R12" s="15"/>
      <c r="S12" s="33"/>
      <c r="T12" s="15">
        <v>1632.3100000000002</v>
      </c>
      <c r="U12" s="15">
        <f t="shared" ca="1" si="5"/>
        <v>49000</v>
      </c>
      <c r="V12" s="15">
        <f t="shared" ca="1" si="0"/>
        <v>47367.69</v>
      </c>
      <c r="W12" s="34">
        <f t="shared" ca="1" si="1"/>
        <v>29.018807701968374</v>
      </c>
    </row>
    <row r="13" spans="1:32" x14ac:dyDescent="0.25">
      <c r="B13" s="23">
        <v>8</v>
      </c>
      <c r="C13" s="32" t="s">
        <v>242</v>
      </c>
      <c r="D13" s="15">
        <v>0</v>
      </c>
      <c r="E13" s="15">
        <f>SUMIF('2023-24 in&amp;out'!A4:A158,"8",'2023-24 in&amp;out'!E4:E158)</f>
        <v>0</v>
      </c>
      <c r="F13" s="15"/>
      <c r="G13" s="34"/>
      <c r="H13" s="15">
        <v>0</v>
      </c>
      <c r="I13" s="15">
        <f>SUMIF('2023-24 in&amp;out'!A159:A283,"8",'2023-24 in&amp;out'!E159:E283)</f>
        <v>0</v>
      </c>
      <c r="J13" s="15"/>
      <c r="K13" s="34"/>
      <c r="L13" s="15"/>
      <c r="M13" s="15">
        <f ca="1">SUMIF('2023-24 in&amp;out'!A284:E404,"8",'2023-24 in&amp;out'!E284:E404)</f>
        <v>120</v>
      </c>
      <c r="N13" s="15"/>
      <c r="O13" s="34"/>
      <c r="P13" s="15"/>
      <c r="Q13" s="15">
        <f>SUMIF('2023-24 in&amp;out'!A405:A604,"8",'2023-24 in&amp;out'!E405:E604)</f>
        <v>1310.49</v>
      </c>
      <c r="R13" s="15"/>
      <c r="S13" s="33"/>
      <c r="T13" s="15"/>
      <c r="U13" s="15">
        <f t="shared" ca="1" si="5"/>
        <v>1430.49</v>
      </c>
      <c r="V13" s="15">
        <f t="shared" ca="1" si="0"/>
        <v>1430.49</v>
      </c>
      <c r="W13" s="34"/>
    </row>
    <row r="14" spans="1:32" x14ac:dyDescent="0.25">
      <c r="B14" s="23"/>
      <c r="C14" s="18" t="s">
        <v>21</v>
      </c>
      <c r="D14" s="57">
        <v>6552.5</v>
      </c>
      <c r="E14" s="57">
        <f>E7+E8+E9+E10+E11+E12+E13</f>
        <v>5850</v>
      </c>
      <c r="F14" s="57">
        <f t="shared" si="2"/>
        <v>-702.5</v>
      </c>
      <c r="G14" s="58">
        <f>F14/D14</f>
        <v>-0.10721098817245327</v>
      </c>
      <c r="H14" s="57">
        <v>6454.38</v>
      </c>
      <c r="I14" s="57">
        <f>I7+I8+I9+I10+I11+I12+I13</f>
        <v>6875</v>
      </c>
      <c r="J14" s="57">
        <f t="shared" si="3"/>
        <v>420.61999999999989</v>
      </c>
      <c r="K14" s="58">
        <f>J14/H14</f>
        <v>6.5168149380730581E-2</v>
      </c>
      <c r="L14" s="57">
        <v>3940</v>
      </c>
      <c r="M14" s="57">
        <f ca="1">M7+M8+M9+M10+M11+M12+M13</f>
        <v>22338.38</v>
      </c>
      <c r="N14" s="57">
        <f ca="1">M14-L14</f>
        <v>18398.38</v>
      </c>
      <c r="O14" s="58">
        <f ca="1">N14/L14</f>
        <v>4.6696395939086299</v>
      </c>
      <c r="P14" s="57">
        <v>8930.43</v>
      </c>
      <c r="Q14" s="57">
        <f>Q7+Q8+Q9+Q10+Q11+Q12+Q13</f>
        <v>19689.140000000003</v>
      </c>
      <c r="R14" s="57">
        <f t="shared" ref="R14" si="6">Q14-P14</f>
        <v>10758.710000000003</v>
      </c>
      <c r="S14" s="58">
        <f>R14/P14</f>
        <v>1.2047247444971858</v>
      </c>
      <c r="T14" s="57">
        <v>25877.31</v>
      </c>
      <c r="U14" s="57">
        <f ca="1">U7+U8+U9+U10+U11+U12+U13</f>
        <v>57806.52</v>
      </c>
      <c r="V14" s="57">
        <f ca="1">V7+V8+V9+V10+V11+V12+V13</f>
        <v>31929.210000000003</v>
      </c>
      <c r="W14" s="58">
        <f t="shared" ca="1" si="1"/>
        <v>1.2338689763348665</v>
      </c>
    </row>
    <row r="15" spans="1:32" x14ac:dyDescent="0.25">
      <c r="B15" s="23">
        <v>10</v>
      </c>
      <c r="C15" s="32" t="s">
        <v>37</v>
      </c>
      <c r="D15" s="15">
        <v>-12.5</v>
      </c>
      <c r="E15" s="15">
        <f>SUMIF('2023-24 in&amp;out'!A4:A158,"10",'2023-24 in&amp;out'!E4:E158)</f>
        <v>-12.5</v>
      </c>
      <c r="F15" s="15"/>
      <c r="G15" s="34"/>
      <c r="H15" s="15">
        <v>-12.5</v>
      </c>
      <c r="I15" s="15">
        <f>SUMIF('2023-24 in&amp;out'!A159:A283,"10",'2023-24 in&amp;out'!E159:E283)</f>
        <v>-12.5</v>
      </c>
      <c r="J15" s="15"/>
      <c r="K15" s="34"/>
      <c r="L15" s="15">
        <v>-12.5</v>
      </c>
      <c r="M15" s="15">
        <f ca="1">SUMIF('2023-24 in&amp;out'!A284:E404,"10",'2023-24 in&amp;out'!E284:E404)</f>
        <v>-12.5</v>
      </c>
      <c r="N15" s="15"/>
      <c r="O15" s="34"/>
      <c r="P15" s="15">
        <v>-12.5</v>
      </c>
      <c r="Q15" s="15">
        <f>SUMIF('2023-24 in&amp;out'!A405:A604,"10",'2023-24 in&amp;out'!E405:E604)</f>
        <v>-12.5</v>
      </c>
      <c r="R15" s="15"/>
      <c r="S15" s="33"/>
      <c r="T15" s="15">
        <v>-50</v>
      </c>
      <c r="U15" s="15">
        <f ca="1">E15+I15+M15+Q15</f>
        <v>-50</v>
      </c>
      <c r="V15" s="15">
        <f t="shared" ca="1" si="0"/>
        <v>0</v>
      </c>
      <c r="W15" s="34">
        <f t="shared" ca="1" si="1"/>
        <v>0</v>
      </c>
    </row>
    <row r="16" spans="1:32" x14ac:dyDescent="0.25">
      <c r="B16" s="23">
        <v>11</v>
      </c>
      <c r="C16" s="32" t="s">
        <v>38</v>
      </c>
      <c r="D16" s="15">
        <v>-173.12</v>
      </c>
      <c r="E16" s="15">
        <f>SUMIF('2023-24 in&amp;out'!A4:A158,"11",'2023-24 in&amp;out'!E4:E158)</f>
        <v>-175.4</v>
      </c>
      <c r="F16" s="15"/>
      <c r="G16" s="34"/>
      <c r="H16" s="15">
        <v>-199.74</v>
      </c>
      <c r="I16" s="15">
        <f>SUMIF('2023-24 in&amp;out'!A159:A283,"11",'2023-24 in&amp;out'!E159:E283)</f>
        <v>-148.62</v>
      </c>
      <c r="J16" s="15"/>
      <c r="K16" s="34"/>
      <c r="L16" s="15">
        <v>-151.33000000000001</v>
      </c>
      <c r="M16" s="15">
        <f ca="1">SUMIF('2023-24 in&amp;out'!A284:E404,"11",'2023-24 in&amp;out'!E284:E404)</f>
        <v>-114.77000000000001</v>
      </c>
      <c r="N16" s="15"/>
      <c r="O16" s="34"/>
      <c r="P16" s="15">
        <v>-132.19</v>
      </c>
      <c r="Q16" s="15">
        <f>SUMIF('2023-24 in&amp;out'!A405:A604,"11",'2023-24 in&amp;out'!E405:E604)</f>
        <v>-153.38</v>
      </c>
      <c r="R16" s="15"/>
      <c r="S16" s="33"/>
      <c r="T16" s="15">
        <v>-656.38000000000011</v>
      </c>
      <c r="U16" s="15">
        <f ca="1">E16+I16+M16+Q16</f>
        <v>-592.16999999999996</v>
      </c>
      <c r="V16" s="15">
        <f t="shared" ca="1" si="0"/>
        <v>64.21000000000015</v>
      </c>
      <c r="W16" s="34">
        <f t="shared" ca="1" si="1"/>
        <v>-9.7824430969865234E-2</v>
      </c>
      <c r="Y16" s="11"/>
    </row>
    <row r="17" spans="2:25" x14ac:dyDescent="0.25">
      <c r="B17" s="23">
        <v>12</v>
      </c>
      <c r="C17" s="32" t="s">
        <v>13</v>
      </c>
      <c r="D17" s="15">
        <v>0</v>
      </c>
      <c r="E17" s="15">
        <f>SUMIF('2023-24 in&amp;out'!A4:A158,"12",'2023-24 in&amp;out'!E4:E158)</f>
        <v>-1000</v>
      </c>
      <c r="F17" s="15"/>
      <c r="G17" s="34"/>
      <c r="H17" s="15">
        <v>0</v>
      </c>
      <c r="I17" s="15">
        <f>SUMIF('2023-24 in&amp;out'!A159:A283,"12",'2023-24 in&amp;out'!E159:E283)</f>
        <v>1000</v>
      </c>
      <c r="J17" s="15"/>
      <c r="K17" s="34"/>
      <c r="L17" s="15">
        <v>-2890.11</v>
      </c>
      <c r="M17" s="15">
        <f ca="1">SUMIF('2023-24 in&amp;out'!A284:E404,"12",'2023-24 in&amp;out'!E284:E404)</f>
        <v>-3806.54</v>
      </c>
      <c r="N17" s="15"/>
      <c r="O17" s="34"/>
      <c r="P17" s="15">
        <v>10.8</v>
      </c>
      <c r="Q17" s="15">
        <f>SUMIF('2023-24 in&amp;out'!A405:A604,"12",'2023-24 in&amp;out'!E405:E604)</f>
        <v>33</v>
      </c>
      <c r="R17" s="15"/>
      <c r="S17" s="33"/>
      <c r="T17" s="15">
        <v>-2879.31</v>
      </c>
      <c r="U17" s="15">
        <f t="shared" ca="1" si="5"/>
        <v>-3773.54</v>
      </c>
      <c r="V17" s="15">
        <f t="shared" ca="1" si="0"/>
        <v>-894.23</v>
      </c>
      <c r="W17" s="34">
        <f t="shared" ca="1" si="1"/>
        <v>0.31057093539771685</v>
      </c>
    </row>
    <row r="18" spans="2:25" x14ac:dyDescent="0.25">
      <c r="B18" s="23">
        <v>13</v>
      </c>
      <c r="C18" s="32" t="s">
        <v>39</v>
      </c>
      <c r="D18" s="15">
        <v>-222.64</v>
      </c>
      <c r="E18" s="15">
        <f>SUMIF('2023-24 in&amp;out'!A4:A158,"13",'2023-24 in&amp;out'!E4:E158)</f>
        <v>-368.28000000000003</v>
      </c>
      <c r="F18" s="15"/>
      <c r="G18" s="34"/>
      <c r="H18" s="15">
        <v>-413.11</v>
      </c>
      <c r="I18" s="15">
        <f>SUMIF('2023-24 in&amp;out'!A159:A283,"13",'2023-24 in&amp;out'!E159:E283)</f>
        <v>-364.44</v>
      </c>
      <c r="J18" s="15"/>
      <c r="K18" s="34"/>
      <c r="L18" s="15">
        <v>-282.69</v>
      </c>
      <c r="M18" s="15">
        <f ca="1">SUMIF('2023-24 in&amp;out'!A284:E404,"13",'2023-24 in&amp;out'!E284:E404)</f>
        <v>-222.87</v>
      </c>
      <c r="N18" s="15"/>
      <c r="O18" s="34"/>
      <c r="P18" s="15">
        <v>0</v>
      </c>
      <c r="Q18" s="15">
        <f>SUMIF('2023-24 in&amp;out'!A405:A604,"13",'2023-24 in&amp;out'!E405:E604)</f>
        <v>-129.44999999999999</v>
      </c>
      <c r="R18" s="15"/>
      <c r="S18" s="33"/>
      <c r="T18" s="15">
        <v>-918.44</v>
      </c>
      <c r="U18" s="15">
        <f t="shared" ca="1" si="5"/>
        <v>-1085.04</v>
      </c>
      <c r="V18" s="15">
        <f t="shared" ca="1" si="0"/>
        <v>-166.59999999999991</v>
      </c>
      <c r="W18" s="34">
        <f t="shared" ca="1" si="1"/>
        <v>0.18139453856539339</v>
      </c>
      <c r="Y18" s="11"/>
    </row>
    <row r="19" spans="2:25" x14ac:dyDescent="0.25">
      <c r="B19" s="23">
        <v>14</v>
      </c>
      <c r="C19" s="32" t="s">
        <v>40</v>
      </c>
      <c r="D19" s="15">
        <v>-1511.65</v>
      </c>
      <c r="E19" s="15">
        <f>SUMIF('2023-24 in&amp;out'!A4:A158,"14",'2023-24 in&amp;out'!E4:E158)</f>
        <v>-862.81000000000006</v>
      </c>
      <c r="F19" s="15"/>
      <c r="G19" s="34"/>
      <c r="H19" s="15">
        <v>-937.12</v>
      </c>
      <c r="I19" s="15">
        <f>SUMIF('2023-24 in&amp;out'!A159:A283,"14",'2023-24 in&amp;out'!E159:E283)</f>
        <v>-1815.9900000000002</v>
      </c>
      <c r="J19" s="15"/>
      <c r="K19" s="34"/>
      <c r="L19" s="15">
        <v>-127.49</v>
      </c>
      <c r="M19" s="15">
        <f ca="1">SUMIF('2023-24 in&amp;out'!A284:E404,"14",'2023-24 in&amp;out'!E284:E404)</f>
        <v>-532.62</v>
      </c>
      <c r="N19" s="15"/>
      <c r="O19" s="34"/>
      <c r="P19" s="15">
        <v>-47.79</v>
      </c>
      <c r="Q19" s="15">
        <f>SUMIF('2023-24 in&amp;out'!A405:A604,"14",'2023-24 in&amp;out'!E405:E604)</f>
        <v>0</v>
      </c>
      <c r="R19" s="15"/>
      <c r="S19" s="33"/>
      <c r="T19" s="15">
        <v>-2624.0499999999997</v>
      </c>
      <c r="U19" s="15">
        <f t="shared" ca="1" si="5"/>
        <v>-3211.42</v>
      </c>
      <c r="V19" s="15">
        <f t="shared" ca="1" si="0"/>
        <v>-587.37000000000035</v>
      </c>
      <c r="W19" s="34">
        <f t="shared" ca="1" si="1"/>
        <v>0.22384100912711283</v>
      </c>
    </row>
    <row r="20" spans="2:25" x14ac:dyDescent="0.25">
      <c r="B20" s="23">
        <v>15</v>
      </c>
      <c r="C20" s="32" t="s">
        <v>23</v>
      </c>
      <c r="D20" s="15">
        <v>-1537.5</v>
      </c>
      <c r="E20" s="15">
        <f>SUMIF('2023-24 in&amp;out'!A4:A158,"15",'2023-24 in&amp;out'!E4:E158)</f>
        <v>-1837.5</v>
      </c>
      <c r="F20" s="15"/>
      <c r="G20" s="34"/>
      <c r="H20" s="15">
        <v>-1737.5</v>
      </c>
      <c r="I20" s="15">
        <f>SUMIF('2023-24 in&amp;out'!A159:A283,"15",'2023-24 in&amp;out'!E159:E283)</f>
        <v>-1837.5</v>
      </c>
      <c r="J20" s="15"/>
      <c r="K20" s="34"/>
      <c r="L20" s="15">
        <v>-1837.5</v>
      </c>
      <c r="M20" s="15">
        <f ca="1">SUMIF('2023-24 in&amp;out'!A284:E404,"15",'2023-24 in&amp;out'!E284:E404)</f>
        <v>-1837.5</v>
      </c>
      <c r="N20" s="15"/>
      <c r="O20" s="34"/>
      <c r="P20" s="15">
        <v>-1837.5</v>
      </c>
      <c r="Q20" s="15">
        <f>SUMIF('2023-24 in&amp;out'!A405:A604,"15",'2023-24 in&amp;out'!E405:E604)</f>
        <v>-1837.5</v>
      </c>
      <c r="R20" s="15"/>
      <c r="S20" s="33"/>
      <c r="T20" s="15">
        <v>-6950</v>
      </c>
      <c r="U20" s="15">
        <f t="shared" ca="1" si="5"/>
        <v>-7350</v>
      </c>
      <c r="V20" s="15">
        <f t="shared" ca="1" si="0"/>
        <v>-400</v>
      </c>
      <c r="W20" s="34">
        <f t="shared" ca="1" si="1"/>
        <v>5.7553956834532377E-2</v>
      </c>
    </row>
    <row r="21" spans="2:25" x14ac:dyDescent="0.25">
      <c r="B21" s="23">
        <v>16</v>
      </c>
      <c r="C21" s="32" t="s">
        <v>150</v>
      </c>
      <c r="D21" s="15">
        <v>-65.53</v>
      </c>
      <c r="E21" s="15">
        <f>SUMIF('2023-24 in&amp;out'!A4:A158,"16",'2023-24 in&amp;out'!E4:E158)</f>
        <v>-133.56</v>
      </c>
      <c r="F21" s="15"/>
      <c r="G21" s="34"/>
      <c r="H21" s="15">
        <v>-70.990000000000009</v>
      </c>
      <c r="I21" s="15">
        <f>SUMIF('2023-24 in&amp;out'!A159:A283,"16",'2023-24 in&amp;out'!E159:E283)</f>
        <v>-106.72</v>
      </c>
      <c r="J21" s="15"/>
      <c r="K21" s="34"/>
      <c r="L21" s="15">
        <v>-87.36</v>
      </c>
      <c r="M21" s="15">
        <f ca="1">SUMIF('2023-24 in&amp;out'!A284:E404,"16",'2023-24 in&amp;out'!E284:E404)</f>
        <v>-143.94</v>
      </c>
      <c r="N21" s="15"/>
      <c r="O21" s="34"/>
      <c r="P21" s="15">
        <v>-87.36</v>
      </c>
      <c r="Q21" s="15">
        <f>SUMIF('2023-24 in&amp;out'!A404:A604,"16",'2023-24 in&amp;out'!E404:E604)</f>
        <v>-150.29999999999998</v>
      </c>
      <c r="R21" s="15"/>
      <c r="S21" s="33"/>
      <c r="T21" s="15">
        <v>-311.24</v>
      </c>
      <c r="U21" s="15">
        <f t="shared" ca="1" si="5"/>
        <v>-534.52</v>
      </c>
      <c r="V21" s="15">
        <f t="shared" ca="1" si="0"/>
        <v>-223.27999999999997</v>
      </c>
      <c r="W21" s="34">
        <f t="shared" ca="1" si="1"/>
        <v>0.71738851047423202</v>
      </c>
    </row>
    <row r="22" spans="2:25" x14ac:dyDescent="0.25">
      <c r="B22" s="23">
        <v>17</v>
      </c>
      <c r="C22" s="32" t="s">
        <v>42</v>
      </c>
      <c r="D22" s="15">
        <v>0</v>
      </c>
      <c r="E22" s="15">
        <f>SUMIF('2023-24 in&amp;out'!A4:A158,"17",'2023-24 in&amp;out'!E4:E158)</f>
        <v>0</v>
      </c>
      <c r="F22" s="15"/>
      <c r="G22" s="34"/>
      <c r="H22" s="15">
        <v>0</v>
      </c>
      <c r="I22" s="15">
        <f>SUMIF('2023-24 in&amp;out'!A159:A283,"17",'2023-24 in&amp;out'!E159:E283)</f>
        <v>-10.68</v>
      </c>
      <c r="J22" s="15"/>
      <c r="K22" s="34"/>
      <c r="L22" s="15">
        <v>-24.939999999999998</v>
      </c>
      <c r="M22" s="15">
        <f ca="1">SUMIF('2023-24 in&amp;out'!A284:E404,"17",'2023-24 in&amp;out'!E284:E404)</f>
        <v>0</v>
      </c>
      <c r="N22" s="15"/>
      <c r="O22" s="34"/>
      <c r="P22" s="15">
        <v>-33.97</v>
      </c>
      <c r="Q22" s="15">
        <f>SUMIF('2023-24 in&amp;out'!A405:A604,"17",'2023-24 in&amp;out'!E405:E604)</f>
        <v>-42.050000000000004</v>
      </c>
      <c r="R22" s="15"/>
      <c r="S22" s="33"/>
      <c r="T22" s="15">
        <v>-58.91</v>
      </c>
      <c r="U22" s="15">
        <f t="shared" ca="1" si="5"/>
        <v>-52.730000000000004</v>
      </c>
      <c r="V22" s="15">
        <f t="shared" ca="1" si="0"/>
        <v>6.1799999999999926</v>
      </c>
      <c r="W22" s="34">
        <f t="shared" ca="1" si="1"/>
        <v>-0.10490578849091824</v>
      </c>
    </row>
    <row r="23" spans="2:25" x14ac:dyDescent="0.25">
      <c r="B23" s="23">
        <v>18</v>
      </c>
      <c r="C23" s="32" t="s">
        <v>43</v>
      </c>
      <c r="D23" s="15">
        <v>-60</v>
      </c>
      <c r="E23" s="15">
        <f>SUMIF('2023-24 in&amp;out'!A4:A158,"18",'2023-24 in&amp;out'!E4:E158)</f>
        <v>0</v>
      </c>
      <c r="F23" s="15"/>
      <c r="G23" s="34"/>
      <c r="H23" s="15">
        <v>0</v>
      </c>
      <c r="I23" s="15">
        <f>SUMIF('2023-24 in&amp;out'!A159:A283,"18",'2023-24 in&amp;out'!E159:E283)</f>
        <v>-60</v>
      </c>
      <c r="J23" s="15"/>
      <c r="K23" s="34"/>
      <c r="L23" s="15">
        <v>-70</v>
      </c>
      <c r="M23" s="15">
        <f ca="1">SUMIF('2023-24 in&amp;out'!A284:E404,"18",'2023-24 in&amp;out'!E284:E404)</f>
        <v>-70</v>
      </c>
      <c r="N23" s="15"/>
      <c r="O23" s="34"/>
      <c r="P23" s="15">
        <v>-81.95</v>
      </c>
      <c r="Q23" s="15">
        <f>SUMIF('2023-24 in&amp;out'!A405:A604,"18",'2023-24 in&amp;out'!E405:E604)</f>
        <v>0</v>
      </c>
      <c r="R23" s="15"/>
      <c r="S23" s="33"/>
      <c r="T23" s="15">
        <v>-211.95</v>
      </c>
      <c r="U23" s="15">
        <f t="shared" ca="1" si="5"/>
        <v>-130</v>
      </c>
      <c r="V23" s="15">
        <f t="shared" ca="1" si="0"/>
        <v>81.949999999999989</v>
      </c>
      <c r="W23" s="34">
        <f t="shared" ca="1" si="1"/>
        <v>-0.38664779429110635</v>
      </c>
    </row>
    <row r="24" spans="2:25" x14ac:dyDescent="0.25">
      <c r="B24" s="23">
        <v>19</v>
      </c>
      <c r="C24" s="32" t="s">
        <v>44</v>
      </c>
      <c r="D24" s="15">
        <v>0</v>
      </c>
      <c r="E24" s="15">
        <f>SUMIF('2023-24 in&amp;out'!A4:A158,"19",'2023-24 in&amp;out'!E4:E158)</f>
        <v>-216.82</v>
      </c>
      <c r="F24" s="15"/>
      <c r="G24" s="34"/>
      <c r="H24" s="15">
        <v>-189.9</v>
      </c>
      <c r="I24" s="15">
        <f>SUMIF('2023-24 in&amp;out'!A159:A283,"19",'2023-24 in&amp;out'!E159:E283)</f>
        <v>-1712.0300000000002</v>
      </c>
      <c r="J24" s="15"/>
      <c r="K24" s="34"/>
      <c r="L24" s="15">
        <v>-4229.8500000000004</v>
      </c>
      <c r="M24" s="15">
        <f ca="1">SUMIF('2023-24 in&amp;out'!A284:E404,"19",'2023-24 in&amp;out'!E284:E404)</f>
        <v>-6812.18</v>
      </c>
      <c r="N24" s="15"/>
      <c r="O24" s="34"/>
      <c r="P24" s="15">
        <v>-1677.08</v>
      </c>
      <c r="Q24" s="15">
        <f>SUMIF('2023-24 in&amp;out'!A405:A604,"19",'2023-24 in&amp;out'!E405:E604)</f>
        <v>-17915.93</v>
      </c>
      <c r="R24" s="15"/>
      <c r="S24" s="33"/>
      <c r="T24" s="15">
        <v>-6096.83</v>
      </c>
      <c r="U24" s="15">
        <f t="shared" ca="1" si="5"/>
        <v>-26656.959999999999</v>
      </c>
      <c r="V24" s="15">
        <f t="shared" ca="1" si="0"/>
        <v>-20560.129999999997</v>
      </c>
      <c r="W24" s="34">
        <f t="shared" ca="1" si="1"/>
        <v>3.3722655871985929</v>
      </c>
    </row>
    <row r="25" spans="2:25" x14ac:dyDescent="0.25">
      <c r="B25" s="23">
        <v>20</v>
      </c>
      <c r="C25" s="32" t="s">
        <v>45</v>
      </c>
      <c r="D25" s="15">
        <v>0</v>
      </c>
      <c r="E25" s="15">
        <f>SUMIF('2023-24 in&amp;out'!A4:A158,"20",'2023-24 in&amp;out'!E4:E158)</f>
        <v>-147.44999999999999</v>
      </c>
      <c r="F25" s="15"/>
      <c r="G25" s="34"/>
      <c r="H25" s="15">
        <v>-151.85000000000002</v>
      </c>
      <c r="I25" s="15">
        <f>SUMIF('2023-24 in&amp;out'!A159:A283,"20",'2023-24 in&amp;out'!E159:E283)</f>
        <v>-161.93</v>
      </c>
      <c r="J25" s="15"/>
      <c r="K25" s="34"/>
      <c r="L25" s="15">
        <v>-55.95</v>
      </c>
      <c r="M25" s="15">
        <f ca="1">SUMIF('2023-24 in&amp;out'!A284:E404,"20",'2023-24 in&amp;out'!E284:E404)</f>
        <v>0</v>
      </c>
      <c r="N25" s="15"/>
      <c r="O25" s="34"/>
      <c r="P25" s="15">
        <v>-177.63</v>
      </c>
      <c r="Q25" s="15">
        <f>SUMIF('2023-24 in&amp;out'!A405:A604,"20",'2023-24 in&amp;out'!E405:E604)</f>
        <v>-22.15</v>
      </c>
      <c r="R25" s="15"/>
      <c r="S25" s="33"/>
      <c r="T25" s="15">
        <v>-385.43</v>
      </c>
      <c r="U25" s="15">
        <f t="shared" ca="1" si="5"/>
        <v>-331.53</v>
      </c>
      <c r="V25" s="15">
        <f t="shared" ca="1" si="0"/>
        <v>53.900000000000034</v>
      </c>
      <c r="W25" s="34">
        <f t="shared" ca="1" si="1"/>
        <v>-0.13984381080870725</v>
      </c>
    </row>
    <row r="26" spans="2:25" x14ac:dyDescent="0.25">
      <c r="B26" s="23">
        <v>21</v>
      </c>
      <c r="C26" s="32" t="s">
        <v>46</v>
      </c>
      <c r="D26" s="15">
        <v>-263.75</v>
      </c>
      <c r="E26" s="15">
        <f>SUMIF('2023-24 in&amp;out'!A4:A158,"21",'2023-24 in&amp;out'!E4:E158)</f>
        <v>-35.57</v>
      </c>
      <c r="F26" s="15"/>
      <c r="G26" s="34"/>
      <c r="H26" s="15">
        <v>-494.95</v>
      </c>
      <c r="I26" s="15">
        <f>SUMIF('2023-24 in&amp;out'!A159:A283,"21",'2023-24 in&amp;out'!E159:E283)</f>
        <v>-23.79</v>
      </c>
      <c r="J26" s="15"/>
      <c r="K26" s="34"/>
      <c r="L26" s="15">
        <v>0</v>
      </c>
      <c r="M26" s="15">
        <f ca="1">SUMIF('2023-24 in&amp;out'!A284:E404,"21",'2023-24 in&amp;out'!E284:E404)</f>
        <v>-28.45</v>
      </c>
      <c r="N26" s="15"/>
      <c r="O26" s="34"/>
      <c r="P26" s="15">
        <v>0</v>
      </c>
      <c r="Q26" s="15">
        <f>SUMIF('2023-24 in&amp;out'!A405:A604,"21",'2023-24 in&amp;out'!E405:E604)</f>
        <v>-176.77</v>
      </c>
      <c r="R26" s="15"/>
      <c r="S26" s="33"/>
      <c r="T26" s="15">
        <v>-758.7</v>
      </c>
      <c r="U26" s="15">
        <f t="shared" ca="1" si="5"/>
        <v>-264.58000000000004</v>
      </c>
      <c r="V26" s="15">
        <f t="shared" ca="1" si="0"/>
        <v>494.12</v>
      </c>
      <c r="W26" s="34">
        <f t="shared" ca="1" si="1"/>
        <v>-0.65127191248187688</v>
      </c>
    </row>
    <row r="27" spans="2:25" x14ac:dyDescent="0.25">
      <c r="B27" s="23">
        <v>22</v>
      </c>
      <c r="C27" s="32" t="s">
        <v>47</v>
      </c>
      <c r="D27" s="15">
        <v>0</v>
      </c>
      <c r="E27" s="15">
        <f>SUMIF('2023-24 in&amp;out'!A4:A158,"22",'2023-24 in&amp;out'!E4:E158)</f>
        <v>0</v>
      </c>
      <c r="F27" s="15"/>
      <c r="G27" s="34"/>
      <c r="H27" s="15">
        <v>0</v>
      </c>
      <c r="I27" s="15">
        <f>SUMIF('2023-24 in&amp;out'!A159:A283,"22",'2023-24 in&amp;out'!E159:E283)</f>
        <v>-339.78999999999996</v>
      </c>
      <c r="J27" s="15"/>
      <c r="K27" s="34"/>
      <c r="L27" s="15">
        <v>-1115.33</v>
      </c>
      <c r="M27" s="15">
        <f ca="1">SUMIF('2023-24 in&amp;out'!A284:E404,"22",'2023-24 in&amp;out'!E284:E404)</f>
        <v>-221.86</v>
      </c>
      <c r="N27" s="15"/>
      <c r="O27" s="34"/>
      <c r="P27" s="15">
        <v>-174</v>
      </c>
      <c r="Q27" s="15">
        <f>SUMIF('2023-24 in&amp;out'!A405:A604,"22",'2023-24 in&amp;out'!E405:E604)</f>
        <v>-396</v>
      </c>
      <c r="R27" s="15"/>
      <c r="S27" s="33"/>
      <c r="T27" s="15">
        <v>-1289.33</v>
      </c>
      <c r="U27" s="15">
        <f t="shared" ca="1" si="5"/>
        <v>-957.65</v>
      </c>
      <c r="V27" s="15">
        <f t="shared" ca="1" si="0"/>
        <v>331.67999999999995</v>
      </c>
      <c r="W27" s="34">
        <f t="shared" ca="1" si="1"/>
        <v>-0.25724988947748051</v>
      </c>
    </row>
    <row r="28" spans="2:25" x14ac:dyDescent="0.25">
      <c r="B28" s="23">
        <v>23</v>
      </c>
      <c r="C28" s="32" t="s">
        <v>27</v>
      </c>
      <c r="D28" s="15">
        <v>-216.14999999999998</v>
      </c>
      <c r="E28" s="15">
        <f>SUMIF('2023-24 in&amp;out'!A4:A158,"23",'2023-24 in&amp;out'!E4:E158)</f>
        <v>-195.12</v>
      </c>
      <c r="F28" s="15"/>
      <c r="G28" s="34"/>
      <c r="H28" s="15">
        <v>-202.18</v>
      </c>
      <c r="I28" s="15">
        <f>SUMIF('2023-24 in&amp;out'!A159:A283,"23",'2023-24 in&amp;out'!E159:E283)</f>
        <v>-122.07999999999998</v>
      </c>
      <c r="J28" s="15"/>
      <c r="K28" s="34"/>
      <c r="L28" s="15">
        <v>-195.12</v>
      </c>
      <c r="M28" s="15">
        <f ca="1">SUMIF('2023-24 in&amp;out'!A284:E404,"23",'2023-24 in&amp;out'!E284:E404)</f>
        <v>-85.56</v>
      </c>
      <c r="N28" s="15"/>
      <c r="O28" s="34"/>
      <c r="P28" s="15">
        <v>-195.12</v>
      </c>
      <c r="Q28" s="15">
        <f>SUMIF('2023-24 in&amp;out'!A405:A604,"23",'2023-24 in&amp;out'!E405:E604)</f>
        <v>-85.56</v>
      </c>
      <c r="R28" s="15"/>
      <c r="S28" s="33"/>
      <c r="T28" s="15">
        <v>-808.57</v>
      </c>
      <c r="U28" s="15">
        <f t="shared" ca="1" si="5"/>
        <v>-488.32</v>
      </c>
      <c r="V28" s="15">
        <f t="shared" ca="1" si="0"/>
        <v>320.25000000000006</v>
      </c>
      <c r="W28" s="34">
        <f t="shared" ca="1" si="1"/>
        <v>-0.39606960436325866</v>
      </c>
    </row>
    <row r="29" spans="2:25" x14ac:dyDescent="0.25">
      <c r="B29" s="23">
        <v>24</v>
      </c>
      <c r="C29" s="32" t="s">
        <v>28</v>
      </c>
      <c r="D29" s="15">
        <v>0</v>
      </c>
      <c r="E29" s="15">
        <f>SUMIF('2023-24 in&amp;out'!A4:A158,"24",'2023-24 in&amp;out'!E4:E158)</f>
        <v>-297</v>
      </c>
      <c r="F29" s="15"/>
      <c r="G29" s="34"/>
      <c r="H29" s="15">
        <v>0</v>
      </c>
      <c r="I29" s="15">
        <f>SUMIF('2023-24 in&amp;out'!A159:A283,"24",'2023-24 in&amp;out'!E159:E283)</f>
        <v>0</v>
      </c>
      <c r="J29" s="15"/>
      <c r="K29" s="34"/>
      <c r="L29" s="15">
        <v>-189</v>
      </c>
      <c r="M29" s="15">
        <f ca="1">SUMIF('2023-24 in&amp;out'!A284:E404,"24",'2023-24 in&amp;out'!E284:E404)</f>
        <v>-162</v>
      </c>
      <c r="N29" s="15"/>
      <c r="O29" s="34"/>
      <c r="P29" s="15">
        <v>0</v>
      </c>
      <c r="Q29" s="15">
        <f>SUMIF('2023-24 in&amp;out'!A405:A604,"24",'2023-24 in&amp;out'!E405:E604)</f>
        <v>0</v>
      </c>
      <c r="R29" s="15"/>
      <c r="S29" s="33"/>
      <c r="T29" s="15">
        <v>-189</v>
      </c>
      <c r="U29" s="15">
        <f t="shared" ca="1" si="5"/>
        <v>-459</v>
      </c>
      <c r="V29" s="15">
        <f t="shared" ca="1" si="0"/>
        <v>-270</v>
      </c>
      <c r="W29" s="34">
        <f t="shared" ca="1" si="1"/>
        <v>1.4285714285714286</v>
      </c>
    </row>
    <row r="30" spans="2:25" x14ac:dyDescent="0.25">
      <c r="B30" s="23">
        <v>25</v>
      </c>
      <c r="C30" s="32" t="s">
        <v>49</v>
      </c>
      <c r="D30" s="15">
        <v>0</v>
      </c>
      <c r="E30" s="15">
        <f>SUMIF('2023-24 in&amp;out'!A4:A158,"25",'2023-24 in&amp;out'!E4:E158)</f>
        <v>0</v>
      </c>
      <c r="F30" s="15"/>
      <c r="G30" s="34"/>
      <c r="H30" s="15">
        <v>-160</v>
      </c>
      <c r="I30" s="15">
        <f>SUMIF('2023-24 in&amp;out'!A159:A283,"25",'2023-24 in&amp;out'!E159:E283)</f>
        <v>-120</v>
      </c>
      <c r="J30" s="15"/>
      <c r="K30" s="34"/>
      <c r="L30" s="15">
        <v>-80</v>
      </c>
      <c r="M30" s="15">
        <f ca="1">SUMIF('2023-24 in&amp;out'!A284:E404,"25",'2023-24 in&amp;out'!E284:E404)</f>
        <v>0</v>
      </c>
      <c r="N30" s="15"/>
      <c r="O30" s="34"/>
      <c r="P30" s="15">
        <v>-60</v>
      </c>
      <c r="Q30" s="15">
        <f>SUMIF('2023-24 in&amp;out'!A405:A604,"25",'2023-24 in&amp;out'!E405:E604)</f>
        <v>-140</v>
      </c>
      <c r="R30" s="15"/>
      <c r="S30" s="33"/>
      <c r="T30" s="15">
        <v>-300</v>
      </c>
      <c r="U30" s="15">
        <f t="shared" ca="1" si="5"/>
        <v>-260</v>
      </c>
      <c r="V30" s="15">
        <f t="shared" ca="1" si="0"/>
        <v>40</v>
      </c>
      <c r="W30" s="34">
        <f t="shared" ca="1" si="1"/>
        <v>-0.13333333333333333</v>
      </c>
    </row>
    <row r="31" spans="2:25" x14ac:dyDescent="0.25">
      <c r="B31" s="23">
        <v>26</v>
      </c>
      <c r="C31" s="32" t="s">
        <v>137</v>
      </c>
      <c r="D31" s="15">
        <v>0</v>
      </c>
      <c r="E31" s="15">
        <f>SUMIF('2023-24 in&amp;out'!A4:A158,"26",'2023-24 in&amp;out'!E4:E158)</f>
        <v>0</v>
      </c>
      <c r="F31" s="15"/>
      <c r="G31" s="34"/>
      <c r="H31" s="15">
        <v>0</v>
      </c>
      <c r="I31" s="15">
        <f>SUMIF('2023-24 in&amp;out'!A159:A283,"26",'2023-24 in&amp;out'!E159:E283)</f>
        <v>0</v>
      </c>
      <c r="J31" s="15"/>
      <c r="K31" s="34"/>
      <c r="L31" s="15">
        <v>0</v>
      </c>
      <c r="M31" s="15">
        <f ca="1">SUMIF('2023-24 in&amp;out'!A284:E404,"26",'2023-24 in&amp;out'!E284:E404)</f>
        <v>0</v>
      </c>
      <c r="N31" s="15"/>
      <c r="O31" s="34"/>
      <c r="P31" s="15">
        <v>0</v>
      </c>
      <c r="Q31" s="15">
        <f>SUMIF('2023-24 in&amp;out'!A405:A604,"26",'2023-24 in&amp;out'!E405:E604)</f>
        <v>0</v>
      </c>
      <c r="R31" s="15"/>
      <c r="S31" s="33"/>
      <c r="T31" s="15">
        <v>0</v>
      </c>
      <c r="U31" s="15">
        <v>0</v>
      </c>
      <c r="V31" s="15">
        <v>0</v>
      </c>
      <c r="W31" s="34"/>
    </row>
    <row r="32" spans="2:25" x14ac:dyDescent="0.25">
      <c r="B32" s="25"/>
      <c r="C32" s="18" t="s">
        <v>48</v>
      </c>
      <c r="D32" s="59">
        <v>-4062.84</v>
      </c>
      <c r="E32" s="59">
        <f>SUM(E15:E31)</f>
        <v>-5282.0099999999993</v>
      </c>
      <c r="F32" s="59">
        <f>D32-E32</f>
        <v>1219.1699999999992</v>
      </c>
      <c r="G32" s="60">
        <f>F32/D32*-1</f>
        <v>0.30007827037244861</v>
      </c>
      <c r="H32" s="59">
        <v>-4569.84</v>
      </c>
      <c r="I32" s="59">
        <f>SUM(I15:I31)</f>
        <v>-5836.07</v>
      </c>
      <c r="J32" s="59">
        <f>H32-I32</f>
        <v>1266.2299999999996</v>
      </c>
      <c r="K32" s="60">
        <f>J32/H32*-1</f>
        <v>0.27708409922448041</v>
      </c>
      <c r="L32" s="59">
        <v>-11349.170000000002</v>
      </c>
      <c r="M32" s="59">
        <f ca="1">SUM(M15:M31)</f>
        <v>-14050.79</v>
      </c>
      <c r="N32" s="59">
        <f ca="1">L32-M32</f>
        <v>2701.619999999999</v>
      </c>
      <c r="O32" s="60">
        <f ca="1">N32/L32*-1</f>
        <v>0.23804560157262589</v>
      </c>
      <c r="P32" s="59">
        <v>-4506.29</v>
      </c>
      <c r="Q32" s="59">
        <f>SUM(Q15:Q31)</f>
        <v>-21028.590000000004</v>
      </c>
      <c r="R32" s="59">
        <f>P32-Q32</f>
        <v>16522.300000000003</v>
      </c>
      <c r="S32" s="60">
        <f>R32/P32*-1</f>
        <v>3.6664972738106076</v>
      </c>
      <c r="T32" s="59">
        <v>-24488.14</v>
      </c>
      <c r="U32" s="59">
        <f ca="1">SUM(U15:U31)</f>
        <v>-46197.46</v>
      </c>
      <c r="V32" s="59">
        <f ca="1">SUM(V15:V31)</f>
        <v>-21709.319999999996</v>
      </c>
      <c r="W32" s="58">
        <f t="shared" ca="1" si="1"/>
        <v>0.88652384378723725</v>
      </c>
    </row>
    <row r="33" spans="2:25" x14ac:dyDescent="0.25">
      <c r="B33" s="23"/>
      <c r="C33" s="16" t="s">
        <v>30</v>
      </c>
      <c r="D33" s="16">
        <v>2489.66</v>
      </c>
      <c r="E33" s="16">
        <f>E14+E32</f>
        <v>567.99000000000069</v>
      </c>
      <c r="F33" s="16">
        <f>E33-D33</f>
        <v>-1921.6699999999992</v>
      </c>
      <c r="G33" s="50">
        <f>F33/D33</f>
        <v>-0.77186041467509592</v>
      </c>
      <c r="H33" s="16">
        <v>1884.54</v>
      </c>
      <c r="I33" s="16">
        <f>I14+I32</f>
        <v>1038.9300000000003</v>
      </c>
      <c r="J33" s="16">
        <f>I33-H33</f>
        <v>-845.60999999999967</v>
      </c>
      <c r="K33" s="51">
        <f>J33/H33*-1</f>
        <v>0.4487089687669138</v>
      </c>
      <c r="L33" s="16">
        <v>-7409.1700000000019</v>
      </c>
      <c r="M33" s="16">
        <f ca="1">M14+M32</f>
        <v>8287.59</v>
      </c>
      <c r="N33" s="16">
        <f ca="1">M33-L33</f>
        <v>15696.760000000002</v>
      </c>
      <c r="O33" s="51">
        <f ca="1">N33/L33*-1</f>
        <v>2.1185584890075404</v>
      </c>
      <c r="P33" s="16">
        <v>4424.1400000000003</v>
      </c>
      <c r="Q33" s="16">
        <f>Q14+Q32</f>
        <v>-1339.4500000000007</v>
      </c>
      <c r="R33" s="16">
        <f>Q33-P33</f>
        <v>-5763.5900000000011</v>
      </c>
      <c r="S33" s="50">
        <f>R33/P33</f>
        <v>-1.3027594063479004</v>
      </c>
      <c r="T33" s="16">
        <v>1389.1700000000019</v>
      </c>
      <c r="U33" s="16">
        <f ca="1">U14+U32</f>
        <v>11609.059999999998</v>
      </c>
      <c r="V33" s="16">
        <f ca="1">U33-T33</f>
        <v>10219.889999999996</v>
      </c>
      <c r="W33" s="34">
        <f t="shared" ca="1" si="1"/>
        <v>7.3568317772482716</v>
      </c>
    </row>
    <row r="34" spans="2:25" x14ac:dyDescent="0.25">
      <c r="B34" s="13"/>
      <c r="C34" s="13"/>
    </row>
    <row r="35" spans="2:25" x14ac:dyDescent="0.25">
      <c r="B35" s="13"/>
      <c r="C35" s="29" t="s">
        <v>52</v>
      </c>
    </row>
    <row r="36" spans="2:25" x14ac:dyDescent="0.25">
      <c r="B36" s="13"/>
      <c r="C36" s="13"/>
      <c r="K36" t="s">
        <v>51</v>
      </c>
      <c r="L36" t="s">
        <v>51</v>
      </c>
    </row>
    <row r="37" spans="2:25" x14ac:dyDescent="0.25">
      <c r="B37" s="13"/>
      <c r="P37" s="26"/>
    </row>
    <row r="38" spans="2:25" x14ac:dyDescent="0.25">
      <c r="B38" s="13"/>
    </row>
    <row r="39" spans="2:25" x14ac:dyDescent="0.25">
      <c r="B39" s="13"/>
      <c r="C39" s="81"/>
      <c r="D39" s="81"/>
      <c r="E39" s="81"/>
      <c r="F39" s="81"/>
      <c r="G39" s="81"/>
      <c r="I39" s="23">
        <v>1</v>
      </c>
      <c r="J39" s="13" t="s">
        <v>17</v>
      </c>
      <c r="T39" t="s">
        <v>51</v>
      </c>
    </row>
    <row r="40" spans="2:25" x14ac:dyDescent="0.25">
      <c r="B40" s="13"/>
      <c r="C40" s="26">
        <v>45624</v>
      </c>
      <c r="E40" s="62"/>
      <c r="F40" s="62">
        <v>2023</v>
      </c>
      <c r="G40" s="62">
        <v>2024</v>
      </c>
      <c r="I40" s="23">
        <v>2</v>
      </c>
      <c r="J40" s="13" t="s">
        <v>16</v>
      </c>
    </row>
    <row r="41" spans="2:25" x14ac:dyDescent="0.25">
      <c r="B41" s="13"/>
      <c r="C41" s="26" t="s">
        <v>339</v>
      </c>
      <c r="E41" s="12"/>
      <c r="F41">
        <v>4550</v>
      </c>
      <c r="G41" s="12">
        <v>3405</v>
      </c>
      <c r="I41" s="23">
        <v>3</v>
      </c>
      <c r="J41" s="13" t="s">
        <v>19</v>
      </c>
    </row>
    <row r="42" spans="2:25" x14ac:dyDescent="0.25">
      <c r="B42" s="13"/>
      <c r="C42" t="s">
        <v>86</v>
      </c>
      <c r="E42" s="12"/>
      <c r="F42">
        <v>1875</v>
      </c>
      <c r="G42" s="12">
        <v>2315</v>
      </c>
      <c r="I42" s="23">
        <v>4</v>
      </c>
      <c r="J42" s="13" t="s">
        <v>22</v>
      </c>
      <c r="W42" s="26"/>
      <c r="X42" s="62"/>
      <c r="Y42" s="62"/>
    </row>
    <row r="43" spans="2:25" x14ac:dyDescent="0.25">
      <c r="B43" s="13"/>
      <c r="C43" s="41" t="s">
        <v>104</v>
      </c>
      <c r="E43" s="12"/>
      <c r="F43">
        <v>1700</v>
      </c>
      <c r="G43" s="12">
        <v>2020</v>
      </c>
      <c r="I43" s="23">
        <v>5</v>
      </c>
      <c r="J43" s="13" t="s">
        <v>36</v>
      </c>
      <c r="W43" s="26"/>
      <c r="X43" s="12"/>
      <c r="Y43" s="12"/>
    </row>
    <row r="44" spans="2:25" x14ac:dyDescent="0.25">
      <c r="B44" s="13"/>
      <c r="C44" s="26" t="s">
        <v>206</v>
      </c>
      <c r="E44" s="12"/>
      <c r="F44">
        <v>780</v>
      </c>
      <c r="G44" s="12">
        <v>1750</v>
      </c>
      <c r="I44" s="23">
        <v>6</v>
      </c>
      <c r="J44" s="13" t="s">
        <v>24</v>
      </c>
      <c r="W44" s="26"/>
      <c r="X44" s="12"/>
      <c r="Y44" s="12"/>
    </row>
    <row r="45" spans="2:25" x14ac:dyDescent="0.25">
      <c r="B45" s="13"/>
      <c r="C45" t="s">
        <v>95</v>
      </c>
      <c r="E45" s="12"/>
      <c r="F45">
        <v>730</v>
      </c>
      <c r="G45" s="12">
        <v>1270</v>
      </c>
      <c r="I45" s="23">
        <v>7</v>
      </c>
      <c r="J45" s="13" t="s">
        <v>20</v>
      </c>
      <c r="W45" s="26"/>
      <c r="X45" s="12"/>
      <c r="Y45" s="12"/>
    </row>
    <row r="46" spans="2:25" x14ac:dyDescent="0.25">
      <c r="B46" s="13"/>
      <c r="C46" s="26" t="s">
        <v>14</v>
      </c>
      <c r="E46" s="12"/>
      <c r="F46">
        <v>1100</v>
      </c>
      <c r="G46" s="12">
        <v>1120</v>
      </c>
      <c r="I46" s="23">
        <v>8</v>
      </c>
      <c r="J46" s="13" t="s">
        <v>138</v>
      </c>
      <c r="W46" s="26"/>
      <c r="X46" s="12"/>
      <c r="Y46" s="12"/>
    </row>
    <row r="47" spans="2:25" x14ac:dyDescent="0.25">
      <c r="B47" s="13"/>
      <c r="C47" t="s">
        <v>89</v>
      </c>
      <c r="E47" s="12"/>
      <c r="F47">
        <v>995</v>
      </c>
      <c r="G47" s="12">
        <v>1105</v>
      </c>
      <c r="I47" s="23">
        <v>10</v>
      </c>
      <c r="J47" s="13" t="s">
        <v>37</v>
      </c>
      <c r="W47" s="26"/>
      <c r="X47" s="12"/>
      <c r="Y47" s="12"/>
    </row>
    <row r="48" spans="2:25" x14ac:dyDescent="0.25">
      <c r="B48" s="13"/>
      <c r="C48" t="s">
        <v>153</v>
      </c>
      <c r="E48" s="12"/>
      <c r="F48">
        <v>0</v>
      </c>
      <c r="G48" s="12">
        <v>1095</v>
      </c>
      <c r="I48" s="23">
        <v>11</v>
      </c>
      <c r="J48" s="13" t="s">
        <v>38</v>
      </c>
      <c r="W48" s="26"/>
      <c r="X48" s="12"/>
      <c r="Y48" s="12"/>
    </row>
    <row r="49" spans="2:25" x14ac:dyDescent="0.25">
      <c r="B49" s="13"/>
      <c r="C49" t="s">
        <v>90</v>
      </c>
      <c r="E49" s="12"/>
      <c r="F49">
        <v>852</v>
      </c>
      <c r="G49" s="12">
        <v>880</v>
      </c>
      <c r="I49" s="23">
        <v>12</v>
      </c>
      <c r="J49" s="13" t="s">
        <v>13</v>
      </c>
      <c r="W49" s="26"/>
      <c r="X49" s="12"/>
      <c r="Y49" s="12"/>
    </row>
    <row r="50" spans="2:25" x14ac:dyDescent="0.25">
      <c r="B50" s="13"/>
      <c r="C50" s="26" t="s">
        <v>205</v>
      </c>
      <c r="E50" s="12"/>
      <c r="F50">
        <v>825</v>
      </c>
      <c r="G50" s="12">
        <v>745</v>
      </c>
      <c r="I50" s="23">
        <v>13</v>
      </c>
      <c r="J50" s="13" t="s">
        <v>39</v>
      </c>
      <c r="W50" s="26"/>
      <c r="X50" s="12"/>
      <c r="Y50" s="12"/>
    </row>
    <row r="51" spans="2:25" x14ac:dyDescent="0.25">
      <c r="B51" s="13"/>
      <c r="C51" t="s">
        <v>91</v>
      </c>
      <c r="E51" s="12"/>
      <c r="F51">
        <v>310</v>
      </c>
      <c r="G51" s="12">
        <v>405</v>
      </c>
      <c r="I51" s="23">
        <v>14</v>
      </c>
      <c r="J51" s="13" t="s">
        <v>40</v>
      </c>
      <c r="W51" s="26"/>
      <c r="X51" s="12"/>
      <c r="Y51" s="12"/>
    </row>
    <row r="52" spans="2:25" x14ac:dyDescent="0.25">
      <c r="B52" s="13"/>
      <c r="C52" s="26" t="s">
        <v>204</v>
      </c>
      <c r="E52" s="12"/>
      <c r="F52">
        <v>1590</v>
      </c>
      <c r="G52" s="12">
        <v>405</v>
      </c>
      <c r="I52" s="23">
        <v>15</v>
      </c>
      <c r="J52" s="13" t="s">
        <v>23</v>
      </c>
      <c r="W52" s="26"/>
      <c r="X52" s="12"/>
      <c r="Y52" s="12"/>
    </row>
    <row r="53" spans="2:25" x14ac:dyDescent="0.25">
      <c r="B53" s="13"/>
      <c r="I53" s="23">
        <v>16</v>
      </c>
      <c r="J53" s="13" t="s">
        <v>41</v>
      </c>
      <c r="W53" s="26"/>
      <c r="X53" s="12"/>
      <c r="Y53" s="12"/>
    </row>
    <row r="54" spans="2:25" x14ac:dyDescent="0.25">
      <c r="B54" s="13"/>
      <c r="C54" s="26"/>
      <c r="E54" s="31"/>
      <c r="I54" s="23">
        <v>17</v>
      </c>
      <c r="J54" s="13" t="s">
        <v>42</v>
      </c>
      <c r="W54" s="26"/>
      <c r="X54" s="12"/>
      <c r="Y54" s="12"/>
    </row>
    <row r="55" spans="2:25" x14ac:dyDescent="0.25">
      <c r="B55" s="13"/>
      <c r="C55" s="26"/>
      <c r="E55" s="31"/>
      <c r="I55" s="23">
        <v>18</v>
      </c>
      <c r="J55" s="13" t="s">
        <v>43</v>
      </c>
      <c r="W55" s="26"/>
      <c r="X55" s="12"/>
      <c r="Y55" s="12"/>
    </row>
    <row r="56" spans="2:25" x14ac:dyDescent="0.25">
      <c r="B56" s="13"/>
      <c r="C56" s="26"/>
      <c r="E56" s="31"/>
      <c r="I56" s="23">
        <v>19</v>
      </c>
      <c r="J56" s="13" t="s">
        <v>44</v>
      </c>
      <c r="W56" s="26"/>
      <c r="X56" s="12"/>
      <c r="Y56" s="12"/>
    </row>
    <row r="57" spans="2:25" x14ac:dyDescent="0.25">
      <c r="B57" s="13"/>
      <c r="C57" s="26"/>
      <c r="E57" s="31"/>
      <c r="I57" s="23">
        <v>20</v>
      </c>
      <c r="J57" s="13" t="s">
        <v>45</v>
      </c>
      <c r="W57" s="26"/>
      <c r="X57" s="12"/>
      <c r="Y57" s="12"/>
    </row>
    <row r="58" spans="2:25" x14ac:dyDescent="0.25">
      <c r="B58" s="13"/>
      <c r="C58" s="26"/>
      <c r="E58" s="31"/>
      <c r="I58" s="23">
        <v>21</v>
      </c>
      <c r="J58" s="13" t="s">
        <v>46</v>
      </c>
      <c r="W58" s="26"/>
      <c r="X58" s="12"/>
      <c r="Y58" s="12"/>
    </row>
    <row r="59" spans="2:25" x14ac:dyDescent="0.25">
      <c r="B59" s="13"/>
      <c r="C59" s="26"/>
      <c r="E59" s="31"/>
      <c r="I59" s="23">
        <v>22</v>
      </c>
      <c r="J59" s="13" t="s">
        <v>47</v>
      </c>
      <c r="W59" s="26"/>
      <c r="X59" s="12"/>
      <c r="Y59" s="12"/>
    </row>
    <row r="60" spans="2:25" x14ac:dyDescent="0.25">
      <c r="B60" s="13"/>
      <c r="C60" s="26"/>
      <c r="E60" s="31"/>
      <c r="I60" s="23">
        <v>23</v>
      </c>
      <c r="J60" s="13" t="s">
        <v>27</v>
      </c>
      <c r="W60" s="26"/>
      <c r="X60" s="12"/>
      <c r="Y60" s="12"/>
    </row>
    <row r="61" spans="2:25" x14ac:dyDescent="0.25">
      <c r="B61" s="13"/>
      <c r="C61" s="26"/>
      <c r="E61" s="31"/>
      <c r="I61" s="23">
        <v>24</v>
      </c>
      <c r="J61" s="13" t="s">
        <v>28</v>
      </c>
      <c r="W61" s="26"/>
      <c r="X61" s="12"/>
      <c r="Y61" s="12"/>
    </row>
    <row r="62" spans="2:25" x14ac:dyDescent="0.25">
      <c r="B62" s="13"/>
      <c r="I62" s="23">
        <v>25</v>
      </c>
      <c r="J62" s="13" t="s">
        <v>49</v>
      </c>
      <c r="W62" s="26"/>
      <c r="X62" s="12"/>
      <c r="Y62" s="12"/>
    </row>
    <row r="63" spans="2:25" x14ac:dyDescent="0.25">
      <c r="I63" s="23">
        <v>26</v>
      </c>
      <c r="J63" s="13" t="s">
        <v>139</v>
      </c>
      <c r="W63" s="26"/>
      <c r="X63" s="12"/>
      <c r="Y63" s="12"/>
    </row>
    <row r="64" spans="2:25" x14ac:dyDescent="0.25">
      <c r="W64" s="26"/>
      <c r="X64" s="12"/>
      <c r="Y64" s="12"/>
    </row>
    <row r="65" spans="23:25" x14ac:dyDescent="0.25">
      <c r="W65" s="26"/>
      <c r="X65" s="12"/>
      <c r="Y65" s="12"/>
    </row>
    <row r="66" spans="23:25" x14ac:dyDescent="0.25">
      <c r="W66" s="26"/>
      <c r="X66" s="12"/>
      <c r="Y66" s="12"/>
    </row>
  </sheetData>
  <sortState xmlns:xlrd2="http://schemas.microsoft.com/office/spreadsheetml/2017/richdata2" ref="C41:E51">
    <sortCondition descending="1" ref="E41:E51"/>
  </sortState>
  <mergeCells count="2">
    <mergeCell ref="C39:G39"/>
    <mergeCell ref="D3:W3"/>
  </mergeCells>
  <pageMargins left="0.19685039370078741" right="0.19685039370078741" top="0.74803149606299213" bottom="0.74803149606299213" header="0.31496062992125984" footer="0.31496062992125984"/>
  <pageSetup paperSize="9" scale="9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0FCE5-3FDA-4AB0-AAC6-ED87BAB77A5F}">
  <dimension ref="A2:X614"/>
  <sheetViews>
    <sheetView topLeftCell="A174" workbookViewId="0">
      <selection activeCell="D201" sqref="D201"/>
    </sheetView>
  </sheetViews>
  <sheetFormatPr defaultRowHeight="15" x14ac:dyDescent="0.25"/>
  <cols>
    <col min="1" max="1" width="4.42578125" style="30" customWidth="1"/>
    <col min="2" max="2" width="10.42578125" customWidth="1"/>
    <col min="3" max="3" width="10.7109375" style="2" customWidth="1"/>
    <col min="4" max="4" width="47.7109375" customWidth="1"/>
    <col min="5" max="5" width="9.7109375" customWidth="1"/>
    <col min="6" max="6" width="10.28515625" customWidth="1"/>
    <col min="10" max="10" width="9.85546875" bestFit="1" customWidth="1"/>
    <col min="11" max="11" width="38.28515625" customWidth="1"/>
    <col min="12" max="12" width="9.85546875" bestFit="1" customWidth="1"/>
    <col min="13" max="13" width="9.42578125" bestFit="1" customWidth="1"/>
    <col min="15" max="15" width="22.28515625" customWidth="1"/>
    <col min="17" max="17" width="11" bestFit="1" customWidth="1"/>
    <col min="18" max="18" width="23.85546875" customWidth="1"/>
    <col min="19" max="19" width="9.140625" style="1"/>
    <col min="21" max="22" width="10" bestFit="1" customWidth="1"/>
  </cols>
  <sheetData>
    <row r="2" spans="1:12" x14ac:dyDescent="0.25">
      <c r="A2" s="28"/>
      <c r="B2" s="3" t="s">
        <v>0</v>
      </c>
      <c r="C2" s="4" t="s">
        <v>1</v>
      </c>
      <c r="D2" s="5" t="s">
        <v>2</v>
      </c>
      <c r="E2" s="8" t="s">
        <v>3</v>
      </c>
      <c r="F2" s="6" t="s">
        <v>4</v>
      </c>
      <c r="G2" s="4" t="s">
        <v>5</v>
      </c>
      <c r="H2" s="5" t="s">
        <v>6</v>
      </c>
    </row>
    <row r="3" spans="1:12" x14ac:dyDescent="0.25">
      <c r="A3" s="27"/>
      <c r="B3" s="26"/>
      <c r="E3" s="1" t="s">
        <v>7</v>
      </c>
      <c r="F3" s="9">
        <v>18997.939999999999</v>
      </c>
    </row>
    <row r="4" spans="1:12" x14ac:dyDescent="0.25">
      <c r="A4" s="30">
        <v>1</v>
      </c>
      <c r="B4" s="26">
        <v>45628</v>
      </c>
      <c r="C4" s="2" t="s">
        <v>83</v>
      </c>
      <c r="D4" t="s">
        <v>90</v>
      </c>
      <c r="E4" s="1">
        <v>90</v>
      </c>
      <c r="F4" s="1">
        <f>F3+E4</f>
        <v>19087.939999999999</v>
      </c>
    </row>
    <row r="5" spans="1:12" x14ac:dyDescent="0.25">
      <c r="A5" s="30">
        <v>1</v>
      </c>
      <c r="B5" s="26">
        <v>45628</v>
      </c>
      <c r="C5" s="2" t="s">
        <v>80</v>
      </c>
      <c r="D5" t="s">
        <v>92</v>
      </c>
      <c r="E5" s="1">
        <v>15</v>
      </c>
      <c r="F5" s="1">
        <f t="shared" ref="F5:F68" si="0">F4+E5</f>
        <v>19102.939999999999</v>
      </c>
    </row>
    <row r="6" spans="1:12" x14ac:dyDescent="0.25">
      <c r="A6" s="30">
        <v>23</v>
      </c>
      <c r="B6" s="26">
        <v>45628</v>
      </c>
      <c r="C6" s="2" t="s">
        <v>8</v>
      </c>
      <c r="D6" t="s">
        <v>142</v>
      </c>
      <c r="E6" s="1">
        <v>-28.52</v>
      </c>
      <c r="F6" s="1">
        <f t="shared" si="0"/>
        <v>19074.419999999998</v>
      </c>
      <c r="G6" t="s">
        <v>75</v>
      </c>
    </row>
    <row r="7" spans="1:12" x14ac:dyDescent="0.25">
      <c r="A7" s="30">
        <v>1</v>
      </c>
      <c r="B7" s="26">
        <v>45629</v>
      </c>
      <c r="C7" s="2" t="s">
        <v>83</v>
      </c>
      <c r="D7" t="s">
        <v>377</v>
      </c>
      <c r="E7" s="1">
        <v>55</v>
      </c>
      <c r="F7" s="1">
        <f t="shared" si="0"/>
        <v>19129.419999999998</v>
      </c>
      <c r="H7" t="s">
        <v>400</v>
      </c>
    </row>
    <row r="8" spans="1:12" x14ac:dyDescent="0.25">
      <c r="A8" s="30">
        <v>1</v>
      </c>
      <c r="B8" s="26">
        <v>45630</v>
      </c>
      <c r="C8" s="2" t="s">
        <v>83</v>
      </c>
      <c r="D8" t="s">
        <v>86</v>
      </c>
      <c r="E8" s="1">
        <v>130</v>
      </c>
      <c r="F8" s="1">
        <f t="shared" si="0"/>
        <v>19259.419999999998</v>
      </c>
    </row>
    <row r="9" spans="1:12" x14ac:dyDescent="0.25">
      <c r="A9" s="30">
        <v>1</v>
      </c>
      <c r="B9" s="26">
        <v>45630</v>
      </c>
      <c r="C9" s="2" t="s">
        <v>83</v>
      </c>
      <c r="D9" t="s">
        <v>104</v>
      </c>
      <c r="E9" s="1">
        <v>45</v>
      </c>
      <c r="F9" s="1">
        <f t="shared" si="0"/>
        <v>19304.419999999998</v>
      </c>
    </row>
    <row r="10" spans="1:12" x14ac:dyDescent="0.25">
      <c r="A10" s="30">
        <v>24</v>
      </c>
      <c r="B10" s="26">
        <v>45630</v>
      </c>
      <c r="C10" s="2" t="s">
        <v>82</v>
      </c>
      <c r="D10" t="s">
        <v>418</v>
      </c>
      <c r="E10" s="1">
        <v>-324</v>
      </c>
      <c r="F10" s="1">
        <f t="shared" si="0"/>
        <v>18980.419999999998</v>
      </c>
      <c r="G10">
        <v>1</v>
      </c>
    </row>
    <row r="11" spans="1:12" x14ac:dyDescent="0.25">
      <c r="A11" s="30">
        <v>1</v>
      </c>
      <c r="B11" s="26">
        <v>45635</v>
      </c>
      <c r="C11" s="2" t="s">
        <v>83</v>
      </c>
      <c r="D11" t="s">
        <v>15</v>
      </c>
      <c r="E11" s="1">
        <v>395</v>
      </c>
      <c r="F11" s="1">
        <f t="shared" si="0"/>
        <v>19375.419999999998</v>
      </c>
      <c r="L11">
        <v>1368</v>
      </c>
    </row>
    <row r="12" spans="1:12" x14ac:dyDescent="0.25">
      <c r="A12" s="30">
        <v>16</v>
      </c>
      <c r="B12" s="26">
        <v>45636</v>
      </c>
      <c r="C12" s="2" t="s">
        <v>8</v>
      </c>
      <c r="D12" t="s">
        <v>11</v>
      </c>
      <c r="E12" s="1">
        <v>-32.380000000000003</v>
      </c>
      <c r="F12" s="1">
        <f t="shared" si="0"/>
        <v>19343.039999999997</v>
      </c>
      <c r="G12" t="s">
        <v>75</v>
      </c>
    </row>
    <row r="13" spans="1:12" x14ac:dyDescent="0.25">
      <c r="A13" s="30">
        <v>1</v>
      </c>
      <c r="B13" s="26">
        <v>45638</v>
      </c>
      <c r="C13" s="2" t="s">
        <v>80</v>
      </c>
      <c r="D13" t="s">
        <v>379</v>
      </c>
      <c r="E13" s="1">
        <v>30</v>
      </c>
      <c r="F13" s="1">
        <f t="shared" si="0"/>
        <v>19373.039999999997</v>
      </c>
      <c r="K13" t="s">
        <v>550</v>
      </c>
    </row>
    <row r="14" spans="1:12" x14ac:dyDescent="0.25">
      <c r="A14" s="30">
        <v>19</v>
      </c>
      <c r="B14" s="26">
        <v>45649</v>
      </c>
      <c r="C14" s="2" t="s">
        <v>82</v>
      </c>
      <c r="D14" t="s">
        <v>112</v>
      </c>
      <c r="E14" s="1">
        <v>-9.9</v>
      </c>
      <c r="F14" s="1">
        <f t="shared" si="0"/>
        <v>19363.139999999996</v>
      </c>
      <c r="G14">
        <v>2</v>
      </c>
      <c r="K14" t="s">
        <v>519</v>
      </c>
      <c r="L14" s="12"/>
    </row>
    <row r="15" spans="1:12" x14ac:dyDescent="0.25">
      <c r="A15" s="30">
        <v>16</v>
      </c>
      <c r="B15" s="26">
        <v>45649</v>
      </c>
      <c r="C15" s="2" t="s">
        <v>82</v>
      </c>
      <c r="D15" t="s">
        <v>470</v>
      </c>
      <c r="E15" s="1">
        <v>-52.8</v>
      </c>
      <c r="F15" s="1">
        <f t="shared" si="0"/>
        <v>19310.339999999997</v>
      </c>
      <c r="G15" t="s">
        <v>75</v>
      </c>
    </row>
    <row r="16" spans="1:12" x14ac:dyDescent="0.25">
      <c r="A16" s="30">
        <v>15</v>
      </c>
      <c r="B16" s="26">
        <v>45649</v>
      </c>
      <c r="C16" s="2" t="s">
        <v>82</v>
      </c>
      <c r="D16" t="s">
        <v>112</v>
      </c>
      <c r="E16" s="1">
        <v>-612.5</v>
      </c>
      <c r="F16" s="1">
        <f t="shared" si="0"/>
        <v>18697.839999999997</v>
      </c>
      <c r="G16">
        <v>3</v>
      </c>
    </row>
    <row r="17" spans="1:16" x14ac:dyDescent="0.25">
      <c r="A17" s="30">
        <v>13</v>
      </c>
      <c r="B17" s="26">
        <v>45649</v>
      </c>
      <c r="C17" s="2" t="s">
        <v>8</v>
      </c>
      <c r="D17" t="s">
        <v>380</v>
      </c>
      <c r="E17" s="1">
        <v>-278.8</v>
      </c>
      <c r="F17" s="1">
        <f t="shared" si="0"/>
        <v>18419.039999999997</v>
      </c>
      <c r="G17" t="s">
        <v>75</v>
      </c>
    </row>
    <row r="18" spans="1:16" x14ac:dyDescent="0.25">
      <c r="A18" s="30">
        <v>16</v>
      </c>
      <c r="B18" s="26">
        <v>45649</v>
      </c>
      <c r="C18" s="2" t="s">
        <v>8</v>
      </c>
      <c r="D18" t="s">
        <v>160</v>
      </c>
      <c r="E18" s="1">
        <v>-11.32</v>
      </c>
      <c r="F18" s="1">
        <f t="shared" si="0"/>
        <v>18407.719999999998</v>
      </c>
      <c r="G18" t="s">
        <v>75</v>
      </c>
    </row>
    <row r="19" spans="1:16" x14ac:dyDescent="0.25">
      <c r="A19" s="30">
        <v>11</v>
      </c>
      <c r="B19" s="26">
        <v>45649</v>
      </c>
      <c r="C19" s="2" t="s">
        <v>8</v>
      </c>
      <c r="D19" t="s">
        <v>12</v>
      </c>
      <c r="E19" s="1">
        <v>-58.79</v>
      </c>
      <c r="F19" s="1">
        <f t="shared" si="0"/>
        <v>18348.929999999997</v>
      </c>
      <c r="G19" t="s">
        <v>75</v>
      </c>
      <c r="K19" s="71"/>
      <c r="L19" s="71">
        <v>2025</v>
      </c>
      <c r="N19" s="71">
        <v>2024</v>
      </c>
      <c r="O19" s="71"/>
      <c r="P19" s="71"/>
    </row>
    <row r="20" spans="1:16" x14ac:dyDescent="0.25">
      <c r="A20" s="30">
        <v>1</v>
      </c>
      <c r="B20" s="26">
        <v>45650</v>
      </c>
      <c r="C20" s="2" t="s">
        <v>83</v>
      </c>
      <c r="D20" t="s">
        <v>153</v>
      </c>
      <c r="E20" s="1">
        <v>165</v>
      </c>
      <c r="F20" s="1">
        <f t="shared" si="0"/>
        <v>18513.929999999997</v>
      </c>
      <c r="J20" s="12"/>
      <c r="K20" t="s">
        <v>104</v>
      </c>
      <c r="L20" s="12">
        <v>1180</v>
      </c>
      <c r="M20" s="2" t="s">
        <v>538</v>
      </c>
      <c r="N20">
        <v>2020</v>
      </c>
      <c r="O20" t="s">
        <v>104</v>
      </c>
    </row>
    <row r="21" spans="1:16" x14ac:dyDescent="0.25">
      <c r="A21" s="30">
        <v>1</v>
      </c>
      <c r="B21" s="26">
        <v>45650</v>
      </c>
      <c r="C21" s="2" t="s">
        <v>83</v>
      </c>
      <c r="D21" t="s">
        <v>153</v>
      </c>
      <c r="E21" s="1">
        <v>60</v>
      </c>
      <c r="F21" s="1">
        <f t="shared" si="0"/>
        <v>18573.929999999997</v>
      </c>
      <c r="J21" s="12"/>
      <c r="K21" t="s">
        <v>198</v>
      </c>
      <c r="L21" s="12">
        <v>3039.33</v>
      </c>
      <c r="M21" s="2" t="s">
        <v>539</v>
      </c>
      <c r="N21">
        <v>2355</v>
      </c>
      <c r="O21" t="s">
        <v>198</v>
      </c>
    </row>
    <row r="22" spans="1:16" x14ac:dyDescent="0.25">
      <c r="A22" s="30">
        <v>1</v>
      </c>
      <c r="B22" s="26">
        <v>45653</v>
      </c>
      <c r="C22" s="2" t="s">
        <v>83</v>
      </c>
      <c r="D22" t="s">
        <v>381</v>
      </c>
      <c r="E22" s="1">
        <v>55</v>
      </c>
      <c r="F22" s="1">
        <f t="shared" si="0"/>
        <v>18628.929999999997</v>
      </c>
      <c r="H22" t="s">
        <v>400</v>
      </c>
      <c r="J22" s="12"/>
      <c r="K22" t="s">
        <v>87</v>
      </c>
      <c r="L22" s="12">
        <v>465</v>
      </c>
      <c r="M22" s="2" t="s">
        <v>539</v>
      </c>
      <c r="N22">
        <v>405</v>
      </c>
      <c r="O22" t="s">
        <v>87</v>
      </c>
    </row>
    <row r="23" spans="1:16" x14ac:dyDescent="0.25">
      <c r="A23" s="30">
        <v>1</v>
      </c>
      <c r="B23" s="26">
        <v>45653</v>
      </c>
      <c r="C23" s="2" t="s">
        <v>83</v>
      </c>
      <c r="D23" t="s">
        <v>382</v>
      </c>
      <c r="E23" s="1">
        <v>55</v>
      </c>
      <c r="F23" s="1">
        <f t="shared" si="0"/>
        <v>18683.929999999997</v>
      </c>
      <c r="H23" t="s">
        <v>400</v>
      </c>
      <c r="J23" s="12"/>
      <c r="K23" t="s">
        <v>15</v>
      </c>
      <c r="L23" s="12">
        <v>3115</v>
      </c>
      <c r="M23" s="2" t="s">
        <v>538</v>
      </c>
      <c r="N23">
        <v>3405</v>
      </c>
      <c r="O23" t="s">
        <v>15</v>
      </c>
    </row>
    <row r="24" spans="1:16" x14ac:dyDescent="0.25">
      <c r="A24" s="30">
        <v>10</v>
      </c>
      <c r="B24" s="26">
        <v>45653</v>
      </c>
      <c r="C24" s="2" t="s">
        <v>9</v>
      </c>
      <c r="D24" t="s">
        <v>10</v>
      </c>
      <c r="E24" s="1">
        <v>-12.5</v>
      </c>
      <c r="F24" s="1">
        <f t="shared" si="0"/>
        <v>18671.429999999997</v>
      </c>
      <c r="G24" t="s">
        <v>75</v>
      </c>
      <c r="J24" s="12"/>
      <c r="K24" t="s">
        <v>14</v>
      </c>
      <c r="L24" s="12">
        <v>1368</v>
      </c>
      <c r="M24" s="2" t="s">
        <v>538</v>
      </c>
      <c r="N24">
        <v>1421</v>
      </c>
      <c r="O24" t="s">
        <v>14</v>
      </c>
    </row>
    <row r="25" spans="1:16" x14ac:dyDescent="0.25">
      <c r="A25" s="30">
        <v>1</v>
      </c>
      <c r="B25" s="26">
        <v>45656</v>
      </c>
      <c r="C25" s="2" t="s">
        <v>83</v>
      </c>
      <c r="D25" t="s">
        <v>89</v>
      </c>
      <c r="E25" s="1">
        <v>75</v>
      </c>
      <c r="F25" s="1">
        <f t="shared" si="0"/>
        <v>18746.429999999997</v>
      </c>
      <c r="J25" s="12"/>
      <c r="K25" t="s">
        <v>520</v>
      </c>
      <c r="L25" s="12">
        <v>150</v>
      </c>
      <c r="M25" s="2" t="s">
        <v>540</v>
      </c>
    </row>
    <row r="26" spans="1:16" x14ac:dyDescent="0.25">
      <c r="A26" s="30">
        <v>23</v>
      </c>
      <c r="B26" s="26">
        <v>45659</v>
      </c>
      <c r="C26" s="2" t="s">
        <v>8</v>
      </c>
      <c r="D26" t="s">
        <v>254</v>
      </c>
      <c r="E26" s="1">
        <v>-28.52</v>
      </c>
      <c r="F26" s="1">
        <f t="shared" si="0"/>
        <v>18717.909999999996</v>
      </c>
      <c r="G26" t="s">
        <v>75</v>
      </c>
      <c r="J26" s="12"/>
      <c r="K26" t="s">
        <v>93</v>
      </c>
      <c r="L26" s="12">
        <v>60</v>
      </c>
      <c r="M26" s="2" t="s">
        <v>539</v>
      </c>
      <c r="N26">
        <v>45</v>
      </c>
      <c r="O26" t="s">
        <v>93</v>
      </c>
    </row>
    <row r="27" spans="1:16" x14ac:dyDescent="0.25">
      <c r="A27" s="30">
        <v>14</v>
      </c>
      <c r="B27" s="26">
        <v>45659</v>
      </c>
      <c r="C27" s="2" t="s">
        <v>8</v>
      </c>
      <c r="D27" t="s">
        <v>108</v>
      </c>
      <c r="E27" s="1">
        <v>-563.80999999999995</v>
      </c>
      <c r="F27" s="1">
        <f t="shared" si="0"/>
        <v>18154.099999999995</v>
      </c>
      <c r="G27" t="s">
        <v>75</v>
      </c>
      <c r="J27" s="12"/>
      <c r="K27" t="s">
        <v>94</v>
      </c>
      <c r="L27" s="12">
        <v>85</v>
      </c>
      <c r="M27" s="2" t="s">
        <v>541</v>
      </c>
      <c r="N27">
        <v>745</v>
      </c>
      <c r="O27" t="s">
        <v>94</v>
      </c>
    </row>
    <row r="28" spans="1:16" x14ac:dyDescent="0.25">
      <c r="A28" s="30">
        <v>1</v>
      </c>
      <c r="B28" s="26">
        <v>45663</v>
      </c>
      <c r="C28" s="2" t="s">
        <v>83</v>
      </c>
      <c r="D28" t="s">
        <v>383</v>
      </c>
      <c r="E28" s="1">
        <v>55</v>
      </c>
      <c r="F28" s="1">
        <f t="shared" si="0"/>
        <v>18209.099999999995</v>
      </c>
      <c r="H28" t="s">
        <v>400</v>
      </c>
      <c r="J28" s="12"/>
      <c r="K28" t="s">
        <v>86</v>
      </c>
      <c r="L28" s="12">
        <v>2495</v>
      </c>
      <c r="M28" s="2" t="s">
        <v>539</v>
      </c>
      <c r="N28">
        <v>2315</v>
      </c>
      <c r="O28" t="s">
        <v>86</v>
      </c>
    </row>
    <row r="29" spans="1:16" x14ac:dyDescent="0.25">
      <c r="A29" s="30">
        <v>1</v>
      </c>
      <c r="B29" s="26">
        <v>45664</v>
      </c>
      <c r="C29" s="2" t="s">
        <v>83</v>
      </c>
      <c r="D29" t="s">
        <v>384</v>
      </c>
      <c r="E29" s="1">
        <v>90</v>
      </c>
      <c r="F29" s="1">
        <f t="shared" si="0"/>
        <v>18299.099999999995</v>
      </c>
      <c r="H29" t="s">
        <v>400</v>
      </c>
      <c r="J29" s="12"/>
      <c r="K29" t="s">
        <v>88</v>
      </c>
      <c r="L29" s="12">
        <v>0</v>
      </c>
      <c r="M29" s="2" t="s">
        <v>538</v>
      </c>
      <c r="N29">
        <v>2000</v>
      </c>
      <c r="O29" t="s">
        <v>88</v>
      </c>
    </row>
    <row r="30" spans="1:16" x14ac:dyDescent="0.25">
      <c r="A30" s="30">
        <v>16</v>
      </c>
      <c r="B30" s="26">
        <v>45664</v>
      </c>
      <c r="C30" s="2" t="s">
        <v>8</v>
      </c>
      <c r="D30" t="s">
        <v>11</v>
      </c>
      <c r="E30" s="1">
        <v>-32.380000000000003</v>
      </c>
      <c r="F30" s="1">
        <f t="shared" si="0"/>
        <v>18266.719999999994</v>
      </c>
      <c r="G30" t="s">
        <v>75</v>
      </c>
      <c r="J30" s="12"/>
      <c r="K30" t="s">
        <v>89</v>
      </c>
      <c r="L30" s="12">
        <v>1170</v>
      </c>
      <c r="M30" s="2" t="s">
        <v>539</v>
      </c>
      <c r="N30">
        <v>1105</v>
      </c>
      <c r="O30" t="s">
        <v>89</v>
      </c>
    </row>
    <row r="31" spans="1:16" x14ac:dyDescent="0.25">
      <c r="A31" s="30">
        <v>7</v>
      </c>
      <c r="B31" s="26">
        <v>45666</v>
      </c>
      <c r="C31" s="2" t="s">
        <v>83</v>
      </c>
      <c r="D31" t="s">
        <v>385</v>
      </c>
      <c r="E31" s="1">
        <v>730</v>
      </c>
      <c r="F31" s="1">
        <f t="shared" si="0"/>
        <v>18996.719999999994</v>
      </c>
      <c r="J31" s="12"/>
      <c r="K31" t="s">
        <v>153</v>
      </c>
      <c r="L31" s="12">
        <v>1425</v>
      </c>
      <c r="M31" s="2" t="s">
        <v>539</v>
      </c>
      <c r="N31">
        <v>1095</v>
      </c>
      <c r="O31" t="s">
        <v>153</v>
      </c>
    </row>
    <row r="32" spans="1:16" x14ac:dyDescent="0.25">
      <c r="A32" s="30">
        <v>1</v>
      </c>
      <c r="B32" s="26">
        <v>45667</v>
      </c>
      <c r="C32" s="2" t="s">
        <v>80</v>
      </c>
      <c r="D32" t="s">
        <v>94</v>
      </c>
      <c r="E32" s="1">
        <v>85</v>
      </c>
      <c r="F32" s="1">
        <f t="shared" si="0"/>
        <v>19081.719999999994</v>
      </c>
      <c r="J32" s="12"/>
      <c r="K32" t="s">
        <v>90</v>
      </c>
      <c r="L32" s="12">
        <v>1110</v>
      </c>
      <c r="M32" s="2" t="s">
        <v>539</v>
      </c>
      <c r="N32">
        <v>880</v>
      </c>
      <c r="O32" t="s">
        <v>90</v>
      </c>
    </row>
    <row r="33" spans="1:21" x14ac:dyDescent="0.25">
      <c r="A33" s="30">
        <v>1</v>
      </c>
      <c r="B33" s="26">
        <v>45671</v>
      </c>
      <c r="C33" s="2" t="s">
        <v>80</v>
      </c>
      <c r="D33" t="s">
        <v>90</v>
      </c>
      <c r="E33" s="1">
        <v>90</v>
      </c>
      <c r="F33" s="1">
        <f t="shared" si="0"/>
        <v>19171.719999999994</v>
      </c>
      <c r="J33" s="12"/>
      <c r="K33" t="s">
        <v>545</v>
      </c>
      <c r="L33" s="73">
        <v>870</v>
      </c>
      <c r="M33" s="2"/>
      <c r="N33" s="40">
        <v>525</v>
      </c>
      <c r="O33" s="40" t="s">
        <v>117</v>
      </c>
    </row>
    <row r="34" spans="1:21" x14ac:dyDescent="0.25">
      <c r="A34" s="30">
        <v>1</v>
      </c>
      <c r="B34" s="26">
        <v>45671</v>
      </c>
      <c r="C34" s="2" t="s">
        <v>80</v>
      </c>
      <c r="D34" t="s">
        <v>14</v>
      </c>
      <c r="E34" s="1">
        <v>30</v>
      </c>
      <c r="F34" s="1">
        <f t="shared" si="0"/>
        <v>19201.719999999994</v>
      </c>
      <c r="K34" s="72" t="s">
        <v>481</v>
      </c>
      <c r="L34" s="73">
        <v>140</v>
      </c>
      <c r="M34" s="2"/>
      <c r="N34" s="40">
        <v>1270</v>
      </c>
      <c r="O34" s="40" t="s">
        <v>95</v>
      </c>
    </row>
    <row r="35" spans="1:21" x14ac:dyDescent="0.25">
      <c r="A35" s="30">
        <v>1</v>
      </c>
      <c r="B35" s="26">
        <v>45672</v>
      </c>
      <c r="C35" s="2" t="s">
        <v>83</v>
      </c>
      <c r="D35" t="s">
        <v>386</v>
      </c>
      <c r="E35" s="1">
        <v>55</v>
      </c>
      <c r="F35" s="1">
        <f t="shared" si="0"/>
        <v>19256.719999999994</v>
      </c>
      <c r="H35" t="s">
        <v>400</v>
      </c>
      <c r="M35" s="2"/>
      <c r="N35" s="40">
        <v>55</v>
      </c>
      <c r="O35" s="40" t="s">
        <v>96</v>
      </c>
    </row>
    <row r="36" spans="1:21" x14ac:dyDescent="0.25">
      <c r="A36" s="30">
        <v>1</v>
      </c>
      <c r="B36" s="26">
        <v>45673</v>
      </c>
      <c r="C36" s="2" t="s">
        <v>83</v>
      </c>
      <c r="D36" t="s">
        <v>387</v>
      </c>
      <c r="E36" s="1">
        <v>55</v>
      </c>
      <c r="F36" s="1">
        <f t="shared" si="0"/>
        <v>19311.719999999994</v>
      </c>
      <c r="H36" t="s">
        <v>400</v>
      </c>
      <c r="M36" s="2"/>
      <c r="N36" s="40">
        <v>475</v>
      </c>
      <c r="O36" s="40" t="s">
        <v>106</v>
      </c>
    </row>
    <row r="37" spans="1:21" x14ac:dyDescent="0.25">
      <c r="A37" s="30">
        <v>1</v>
      </c>
      <c r="B37" s="26">
        <v>45674</v>
      </c>
      <c r="C37" s="2" t="s">
        <v>83</v>
      </c>
      <c r="D37" t="s">
        <v>15</v>
      </c>
      <c r="E37" s="1">
        <v>505</v>
      </c>
      <c r="F37" s="1">
        <f t="shared" si="0"/>
        <v>19816.719999999994</v>
      </c>
      <c r="M37" s="2"/>
      <c r="N37" s="40">
        <v>405</v>
      </c>
      <c r="O37" s="40" t="s">
        <v>91</v>
      </c>
    </row>
    <row r="38" spans="1:21" x14ac:dyDescent="0.25">
      <c r="A38" s="30">
        <v>1</v>
      </c>
      <c r="B38" s="26">
        <v>45674</v>
      </c>
      <c r="C38" s="2" t="s">
        <v>83</v>
      </c>
      <c r="D38" t="s">
        <v>388</v>
      </c>
      <c r="E38" s="1">
        <v>55</v>
      </c>
      <c r="F38" s="1">
        <f t="shared" si="0"/>
        <v>19871.719999999994</v>
      </c>
      <c r="H38" t="s">
        <v>400</v>
      </c>
    </row>
    <row r="39" spans="1:21" x14ac:dyDescent="0.25">
      <c r="A39" s="30">
        <v>1</v>
      </c>
      <c r="B39" s="26">
        <v>45674</v>
      </c>
      <c r="C39" s="2" t="s">
        <v>80</v>
      </c>
      <c r="D39" t="s">
        <v>92</v>
      </c>
      <c r="E39" s="1">
        <v>15</v>
      </c>
      <c r="F39" s="1">
        <f t="shared" si="0"/>
        <v>19886.719999999994</v>
      </c>
      <c r="K39" t="s">
        <v>537</v>
      </c>
    </row>
    <row r="40" spans="1:21" x14ac:dyDescent="0.25">
      <c r="A40" s="30">
        <v>1</v>
      </c>
      <c r="B40" s="69">
        <v>45674</v>
      </c>
      <c r="C40" s="2" t="s">
        <v>80</v>
      </c>
      <c r="D40" t="s">
        <v>14</v>
      </c>
      <c r="E40" s="1">
        <v>45</v>
      </c>
      <c r="F40" s="1">
        <f t="shared" si="0"/>
        <v>19931.719999999994</v>
      </c>
      <c r="J40" s="26">
        <v>45685</v>
      </c>
      <c r="K40" t="s">
        <v>523</v>
      </c>
    </row>
    <row r="41" spans="1:21" x14ac:dyDescent="0.25">
      <c r="A41" s="30">
        <v>1</v>
      </c>
      <c r="B41" s="26">
        <v>45678</v>
      </c>
      <c r="C41" s="2" t="s">
        <v>83</v>
      </c>
      <c r="D41" t="s">
        <v>104</v>
      </c>
      <c r="E41" s="1">
        <v>180</v>
      </c>
      <c r="F41" s="1">
        <f t="shared" si="0"/>
        <v>20111.719999999994</v>
      </c>
      <c r="J41" s="26">
        <v>45685</v>
      </c>
      <c r="K41" t="s">
        <v>524</v>
      </c>
    </row>
    <row r="42" spans="1:21" x14ac:dyDescent="0.25">
      <c r="A42" s="30">
        <v>1</v>
      </c>
      <c r="B42" s="26">
        <v>45679</v>
      </c>
      <c r="C42" s="2" t="s">
        <v>83</v>
      </c>
      <c r="D42" t="s">
        <v>87</v>
      </c>
      <c r="E42" s="1">
        <v>45</v>
      </c>
      <c r="F42" s="1">
        <f t="shared" si="0"/>
        <v>20156.719999999994</v>
      </c>
      <c r="J42" s="26">
        <v>45834</v>
      </c>
      <c r="K42" t="s">
        <v>525</v>
      </c>
    </row>
    <row r="43" spans="1:21" x14ac:dyDescent="0.25">
      <c r="A43" s="30">
        <v>1</v>
      </c>
      <c r="B43" s="26">
        <v>45679</v>
      </c>
      <c r="C43" s="2" t="s">
        <v>83</v>
      </c>
      <c r="D43" t="s">
        <v>89</v>
      </c>
      <c r="E43" s="1">
        <v>75</v>
      </c>
      <c r="F43" s="1">
        <f t="shared" si="0"/>
        <v>20231.719999999994</v>
      </c>
      <c r="J43" s="26">
        <v>45875</v>
      </c>
      <c r="K43" t="s">
        <v>526</v>
      </c>
      <c r="O43" s="26"/>
    </row>
    <row r="44" spans="1:21" x14ac:dyDescent="0.25">
      <c r="A44" s="30">
        <v>16</v>
      </c>
      <c r="B44" s="26">
        <v>45679</v>
      </c>
      <c r="C44" s="2" t="s">
        <v>8</v>
      </c>
      <c r="D44" t="s">
        <v>160</v>
      </c>
      <c r="E44" s="1">
        <v>-11.32</v>
      </c>
      <c r="F44" s="1">
        <f t="shared" si="0"/>
        <v>20220.399999999994</v>
      </c>
      <c r="G44" t="s">
        <v>75</v>
      </c>
      <c r="J44" s="26">
        <v>45919</v>
      </c>
      <c r="K44" t="s">
        <v>527</v>
      </c>
      <c r="O44" s="26"/>
    </row>
    <row r="45" spans="1:21" x14ac:dyDescent="0.25">
      <c r="A45" s="30">
        <v>11</v>
      </c>
      <c r="B45" s="26">
        <v>45680</v>
      </c>
      <c r="C45" s="2" t="s">
        <v>8</v>
      </c>
      <c r="D45" t="s">
        <v>12</v>
      </c>
      <c r="E45" s="1">
        <v>-52.56</v>
      </c>
      <c r="F45" s="1">
        <f t="shared" si="0"/>
        <v>20167.839999999993</v>
      </c>
      <c r="G45" t="s">
        <v>75</v>
      </c>
      <c r="J45" s="26">
        <v>45853</v>
      </c>
      <c r="K45" t="s">
        <v>528</v>
      </c>
      <c r="O45" s="26"/>
    </row>
    <row r="46" spans="1:21" x14ac:dyDescent="0.25">
      <c r="A46" s="30">
        <v>1</v>
      </c>
      <c r="B46" s="26">
        <v>45684</v>
      </c>
      <c r="C46" s="2" t="s">
        <v>80</v>
      </c>
      <c r="D46" t="s">
        <v>92</v>
      </c>
      <c r="E46" s="1">
        <v>15</v>
      </c>
      <c r="F46" s="1">
        <f t="shared" si="0"/>
        <v>20182.839999999993</v>
      </c>
      <c r="J46" s="26">
        <v>45895</v>
      </c>
      <c r="K46" t="s">
        <v>529</v>
      </c>
      <c r="O46" s="26"/>
    </row>
    <row r="47" spans="1:21" x14ac:dyDescent="0.25">
      <c r="A47" s="30">
        <v>16</v>
      </c>
      <c r="B47" s="26">
        <v>45684</v>
      </c>
      <c r="C47" s="2" t="s">
        <v>82</v>
      </c>
      <c r="D47" t="s">
        <v>461</v>
      </c>
      <c r="E47" s="1">
        <v>-19.2</v>
      </c>
      <c r="F47" s="1">
        <f t="shared" si="0"/>
        <v>20163.639999999992</v>
      </c>
      <c r="G47" t="s">
        <v>75</v>
      </c>
      <c r="J47" s="26">
        <v>45684</v>
      </c>
      <c r="K47" s="26" t="s">
        <v>530</v>
      </c>
      <c r="O47" s="26"/>
      <c r="U47" s="26"/>
    </row>
    <row r="48" spans="1:21" x14ac:dyDescent="0.25">
      <c r="A48" s="30">
        <v>15</v>
      </c>
      <c r="B48" s="26">
        <v>45684</v>
      </c>
      <c r="C48" s="2" t="s">
        <v>82</v>
      </c>
      <c r="D48" t="s">
        <v>112</v>
      </c>
      <c r="E48" s="1">
        <v>-612.5</v>
      </c>
      <c r="F48" s="1">
        <f t="shared" si="0"/>
        <v>19551.139999999992</v>
      </c>
      <c r="G48">
        <v>4</v>
      </c>
      <c r="J48" s="26">
        <v>45932</v>
      </c>
      <c r="K48" s="26" t="s">
        <v>531</v>
      </c>
      <c r="O48" s="26"/>
      <c r="R48" s="61"/>
      <c r="U48" s="26"/>
    </row>
    <row r="49" spans="1:21" x14ac:dyDescent="0.25">
      <c r="A49" s="30">
        <v>20</v>
      </c>
      <c r="B49" s="26">
        <v>45684</v>
      </c>
      <c r="C49" s="2" t="s">
        <v>82</v>
      </c>
      <c r="D49" t="s">
        <v>99</v>
      </c>
      <c r="E49" s="1">
        <v>-151.55000000000001</v>
      </c>
      <c r="F49" s="1">
        <f t="shared" si="0"/>
        <v>19399.589999999993</v>
      </c>
      <c r="G49">
        <v>5</v>
      </c>
      <c r="J49" s="26">
        <v>45975</v>
      </c>
      <c r="K49" s="26" t="s">
        <v>532</v>
      </c>
      <c r="O49" s="26"/>
      <c r="R49" s="61"/>
      <c r="U49" s="26"/>
    </row>
    <row r="50" spans="1:21" x14ac:dyDescent="0.25">
      <c r="A50" s="30">
        <v>20</v>
      </c>
      <c r="B50" s="26">
        <v>45684</v>
      </c>
      <c r="C50" s="2" t="s">
        <v>82</v>
      </c>
      <c r="D50" t="s">
        <v>166</v>
      </c>
      <c r="E50" s="1">
        <v>-12</v>
      </c>
      <c r="F50" s="1">
        <f t="shared" si="0"/>
        <v>19387.589999999993</v>
      </c>
      <c r="G50">
        <v>6</v>
      </c>
      <c r="J50" s="26">
        <v>45932</v>
      </c>
      <c r="K50" t="s">
        <v>533</v>
      </c>
      <c r="O50" s="26"/>
      <c r="R50" s="61"/>
      <c r="U50" s="26"/>
    </row>
    <row r="51" spans="1:21" x14ac:dyDescent="0.25">
      <c r="A51" s="30">
        <v>19</v>
      </c>
      <c r="B51" s="26">
        <v>45684</v>
      </c>
      <c r="C51" s="2" t="s">
        <v>82</v>
      </c>
      <c r="D51" t="s">
        <v>389</v>
      </c>
      <c r="E51" s="1">
        <v>-474.24</v>
      </c>
      <c r="F51" s="1">
        <f t="shared" si="0"/>
        <v>18913.349999999991</v>
      </c>
      <c r="G51">
        <v>7</v>
      </c>
      <c r="J51" s="26">
        <v>45723</v>
      </c>
      <c r="K51" t="s">
        <v>534</v>
      </c>
      <c r="O51" s="26"/>
      <c r="R51" s="61"/>
      <c r="U51" s="26"/>
    </row>
    <row r="52" spans="1:21" x14ac:dyDescent="0.25">
      <c r="A52" s="30">
        <v>21</v>
      </c>
      <c r="B52" s="26">
        <v>45684</v>
      </c>
      <c r="C52" s="2" t="s">
        <v>82</v>
      </c>
      <c r="D52" t="s">
        <v>390</v>
      </c>
      <c r="E52" s="1">
        <v>-10.99</v>
      </c>
      <c r="F52" s="1">
        <f t="shared" si="0"/>
        <v>18902.35999999999</v>
      </c>
      <c r="G52">
        <v>8</v>
      </c>
      <c r="J52" s="26">
        <v>45778</v>
      </c>
      <c r="K52" t="s">
        <v>535</v>
      </c>
      <c r="O52" s="26"/>
      <c r="R52" s="61"/>
      <c r="U52" s="26"/>
    </row>
    <row r="53" spans="1:21" x14ac:dyDescent="0.25">
      <c r="A53" s="30">
        <v>19</v>
      </c>
      <c r="B53" s="26">
        <v>45685</v>
      </c>
      <c r="C53" s="2" t="s">
        <v>82</v>
      </c>
      <c r="D53" t="s">
        <v>393</v>
      </c>
      <c r="E53" s="1">
        <v>-420</v>
      </c>
      <c r="F53" s="1">
        <f t="shared" si="0"/>
        <v>18482.35999999999</v>
      </c>
      <c r="G53">
        <v>9</v>
      </c>
      <c r="J53" s="26">
        <v>45814</v>
      </c>
      <c r="K53" t="s">
        <v>536</v>
      </c>
      <c r="O53" s="26"/>
      <c r="R53" s="61"/>
      <c r="U53" s="26"/>
    </row>
    <row r="54" spans="1:21" x14ac:dyDescent="0.25">
      <c r="A54" s="30">
        <v>19</v>
      </c>
      <c r="B54" s="26">
        <v>45685</v>
      </c>
      <c r="C54" s="2" t="s">
        <v>82</v>
      </c>
      <c r="D54" t="s">
        <v>393</v>
      </c>
      <c r="E54" s="1">
        <v>-360</v>
      </c>
      <c r="F54" s="1">
        <f t="shared" si="0"/>
        <v>18122.35999999999</v>
      </c>
      <c r="G54">
        <v>10</v>
      </c>
      <c r="O54" s="26"/>
      <c r="R54" s="61"/>
      <c r="U54" s="26"/>
    </row>
    <row r="55" spans="1:21" x14ac:dyDescent="0.25">
      <c r="A55" s="30">
        <v>1</v>
      </c>
      <c r="B55" s="26">
        <v>45691</v>
      </c>
      <c r="C55" s="2" t="s">
        <v>83</v>
      </c>
      <c r="D55" t="s">
        <v>15</v>
      </c>
      <c r="E55" s="1">
        <v>515</v>
      </c>
      <c r="F55" s="1">
        <f t="shared" si="0"/>
        <v>18637.35999999999</v>
      </c>
      <c r="O55" s="26"/>
      <c r="R55" s="61"/>
      <c r="U55" s="26"/>
    </row>
    <row r="56" spans="1:21" x14ac:dyDescent="0.25">
      <c r="A56" s="30">
        <v>1</v>
      </c>
      <c r="B56" s="26">
        <v>45691</v>
      </c>
      <c r="C56" s="2" t="s">
        <v>80</v>
      </c>
      <c r="D56" t="s">
        <v>90</v>
      </c>
      <c r="E56" s="1">
        <v>90</v>
      </c>
      <c r="F56" s="1">
        <f t="shared" si="0"/>
        <v>18727.35999999999</v>
      </c>
      <c r="O56" s="26"/>
      <c r="R56" s="61"/>
    </row>
    <row r="57" spans="1:21" x14ac:dyDescent="0.25">
      <c r="A57" s="30">
        <v>1</v>
      </c>
      <c r="B57" s="26">
        <v>45691</v>
      </c>
      <c r="C57" s="2" t="s">
        <v>80</v>
      </c>
      <c r="D57" t="s">
        <v>92</v>
      </c>
      <c r="E57" s="1">
        <v>15</v>
      </c>
      <c r="F57" s="1">
        <f t="shared" si="0"/>
        <v>18742.35999999999</v>
      </c>
      <c r="O57" s="26"/>
      <c r="R57" s="61"/>
    </row>
    <row r="58" spans="1:21" x14ac:dyDescent="0.25">
      <c r="A58" s="30">
        <v>23</v>
      </c>
      <c r="B58" s="26">
        <v>45691</v>
      </c>
      <c r="C58" s="2" t="s">
        <v>8</v>
      </c>
      <c r="D58" t="s">
        <v>254</v>
      </c>
      <c r="E58" s="1">
        <v>-28.52</v>
      </c>
      <c r="F58" s="1">
        <f t="shared" si="0"/>
        <v>18713.839999999989</v>
      </c>
      <c r="G58" t="s">
        <v>75</v>
      </c>
      <c r="K58" t="s">
        <v>51</v>
      </c>
      <c r="O58" s="26"/>
      <c r="R58" s="61"/>
    </row>
    <row r="59" spans="1:21" x14ac:dyDescent="0.25">
      <c r="A59" s="30">
        <v>14</v>
      </c>
      <c r="B59" s="26">
        <v>45691</v>
      </c>
      <c r="C59" s="2" t="s">
        <v>8</v>
      </c>
      <c r="D59" s="41" t="s">
        <v>394</v>
      </c>
      <c r="E59" s="1">
        <v>-781.7</v>
      </c>
      <c r="F59" s="1">
        <f t="shared" si="0"/>
        <v>17932.139999999989</v>
      </c>
      <c r="G59" t="s">
        <v>75</v>
      </c>
      <c r="R59" s="61"/>
    </row>
    <row r="60" spans="1:21" x14ac:dyDescent="0.25">
      <c r="A60" s="30">
        <v>1</v>
      </c>
      <c r="B60" s="26">
        <v>45692</v>
      </c>
      <c r="C60" s="2" t="s">
        <v>83</v>
      </c>
      <c r="D60" t="s">
        <v>86</v>
      </c>
      <c r="E60" s="1">
        <v>215</v>
      </c>
      <c r="F60" s="1">
        <f t="shared" si="0"/>
        <v>18147.139999999989</v>
      </c>
      <c r="R60" s="61"/>
    </row>
    <row r="61" spans="1:21" x14ac:dyDescent="0.25">
      <c r="A61" s="30">
        <v>1</v>
      </c>
      <c r="B61" s="26">
        <v>45692</v>
      </c>
      <c r="C61" s="2" t="s">
        <v>83</v>
      </c>
      <c r="D61" t="s">
        <v>86</v>
      </c>
      <c r="E61" s="1">
        <v>190</v>
      </c>
      <c r="F61" s="1">
        <f t="shared" si="0"/>
        <v>18337.139999999989</v>
      </c>
      <c r="N61" s="13" t="s">
        <v>17</v>
      </c>
      <c r="R61" s="61"/>
    </row>
    <row r="62" spans="1:21" x14ac:dyDescent="0.25">
      <c r="A62" s="30">
        <v>19</v>
      </c>
      <c r="B62" s="26">
        <v>45692</v>
      </c>
      <c r="C62" s="2" t="s">
        <v>82</v>
      </c>
      <c r="D62" t="s">
        <v>395</v>
      </c>
      <c r="E62" s="1">
        <v>-74.59</v>
      </c>
      <c r="F62" s="1">
        <f t="shared" si="0"/>
        <v>18262.549999999988</v>
      </c>
      <c r="G62">
        <v>11</v>
      </c>
      <c r="N62" s="13" t="s">
        <v>16</v>
      </c>
      <c r="R62" s="61"/>
    </row>
    <row r="63" spans="1:21" x14ac:dyDescent="0.25">
      <c r="A63" s="30">
        <v>1</v>
      </c>
      <c r="B63" s="26">
        <v>45694</v>
      </c>
      <c r="C63" s="2" t="s">
        <v>83</v>
      </c>
      <c r="D63" s="41" t="s">
        <v>396</v>
      </c>
      <c r="E63" s="1">
        <v>55</v>
      </c>
      <c r="F63" s="1">
        <f t="shared" si="0"/>
        <v>18317.549999999988</v>
      </c>
      <c r="M63" t="s">
        <v>77</v>
      </c>
      <c r="N63" s="13" t="s">
        <v>19</v>
      </c>
    </row>
    <row r="64" spans="1:21" x14ac:dyDescent="0.25">
      <c r="A64" s="30">
        <v>1</v>
      </c>
      <c r="B64" s="26">
        <v>45695</v>
      </c>
      <c r="C64" s="2" t="s">
        <v>83</v>
      </c>
      <c r="D64" t="s">
        <v>397</v>
      </c>
      <c r="E64" s="1">
        <v>400</v>
      </c>
      <c r="F64" s="1">
        <f t="shared" si="0"/>
        <v>18717.549999999988</v>
      </c>
      <c r="M64" s="23">
        <v>1</v>
      </c>
      <c r="N64" s="13" t="s">
        <v>22</v>
      </c>
    </row>
    <row r="65" spans="1:14" x14ac:dyDescent="0.25">
      <c r="A65" s="30">
        <v>1</v>
      </c>
      <c r="B65" s="26">
        <v>45698</v>
      </c>
      <c r="C65" s="2" t="s">
        <v>83</v>
      </c>
      <c r="D65" t="s">
        <v>104</v>
      </c>
      <c r="E65" s="1">
        <v>135</v>
      </c>
      <c r="F65" s="1">
        <f t="shared" si="0"/>
        <v>18852.549999999988</v>
      </c>
      <c r="M65" s="23">
        <v>2</v>
      </c>
      <c r="N65" s="13" t="s">
        <v>36</v>
      </c>
    </row>
    <row r="66" spans="1:14" x14ac:dyDescent="0.25">
      <c r="A66" s="30">
        <v>1</v>
      </c>
      <c r="B66" s="26">
        <v>45698</v>
      </c>
      <c r="C66" s="2" t="s">
        <v>80</v>
      </c>
      <c r="D66" t="s">
        <v>92</v>
      </c>
      <c r="E66" s="1">
        <v>15</v>
      </c>
      <c r="F66" s="1">
        <f t="shared" si="0"/>
        <v>18867.549999999988</v>
      </c>
      <c r="M66" s="23">
        <v>3</v>
      </c>
      <c r="N66" s="13" t="s">
        <v>24</v>
      </c>
    </row>
    <row r="67" spans="1:14" x14ac:dyDescent="0.25">
      <c r="A67" s="30">
        <v>16</v>
      </c>
      <c r="B67" s="26">
        <v>45698</v>
      </c>
      <c r="C67" s="2" t="s">
        <v>8</v>
      </c>
      <c r="D67" s="41" t="s">
        <v>11</v>
      </c>
      <c r="E67" s="1">
        <v>-32.380000000000003</v>
      </c>
      <c r="F67" s="1">
        <f t="shared" si="0"/>
        <v>18835.169999999987</v>
      </c>
      <c r="G67" t="s">
        <v>75</v>
      </c>
      <c r="M67" s="23">
        <v>4</v>
      </c>
      <c r="N67" s="13" t="s">
        <v>378</v>
      </c>
    </row>
    <row r="68" spans="1:14" x14ac:dyDescent="0.25">
      <c r="A68" s="30">
        <v>1</v>
      </c>
      <c r="B68" s="26">
        <v>45702</v>
      </c>
      <c r="C68" s="2" t="s">
        <v>83</v>
      </c>
      <c r="D68" t="s">
        <v>93</v>
      </c>
      <c r="E68" s="1">
        <v>15</v>
      </c>
      <c r="F68" s="1">
        <f t="shared" si="0"/>
        <v>18850.169999999987</v>
      </c>
      <c r="M68" s="23">
        <v>5</v>
      </c>
      <c r="N68" s="13" t="s">
        <v>147</v>
      </c>
    </row>
    <row r="69" spans="1:14" x14ac:dyDescent="0.25">
      <c r="A69" s="30">
        <v>1</v>
      </c>
      <c r="B69" s="26">
        <v>45702</v>
      </c>
      <c r="C69" s="2" t="s">
        <v>80</v>
      </c>
      <c r="D69" t="s">
        <v>92</v>
      </c>
      <c r="E69" s="1">
        <v>15</v>
      </c>
      <c r="F69" s="1">
        <f t="shared" ref="F69:F81" si="1">F68+E69</f>
        <v>18865.169999999987</v>
      </c>
      <c r="M69" s="23">
        <v>6</v>
      </c>
      <c r="N69" s="13" t="s">
        <v>37</v>
      </c>
    </row>
    <row r="70" spans="1:14" x14ac:dyDescent="0.25">
      <c r="A70" s="30">
        <v>1</v>
      </c>
      <c r="B70" s="26">
        <v>45705</v>
      </c>
      <c r="C70" s="2" t="s">
        <v>83</v>
      </c>
      <c r="D70" t="s">
        <v>153</v>
      </c>
      <c r="E70" s="1">
        <v>90</v>
      </c>
      <c r="F70" s="1">
        <f t="shared" si="1"/>
        <v>18955.169999999987</v>
      </c>
      <c r="M70" s="23">
        <v>7</v>
      </c>
      <c r="N70" s="13" t="s">
        <v>38</v>
      </c>
    </row>
    <row r="71" spans="1:14" x14ac:dyDescent="0.25">
      <c r="A71" s="30">
        <v>1</v>
      </c>
      <c r="B71" s="26">
        <v>45706</v>
      </c>
      <c r="C71" s="2" t="s">
        <v>83</v>
      </c>
      <c r="D71" t="s">
        <v>89</v>
      </c>
      <c r="E71" s="1">
        <v>115</v>
      </c>
      <c r="F71" s="1">
        <f t="shared" si="1"/>
        <v>19070.169999999987</v>
      </c>
      <c r="M71" s="23">
        <v>8</v>
      </c>
      <c r="N71" s="13" t="s">
        <v>13</v>
      </c>
    </row>
    <row r="72" spans="1:14" x14ac:dyDescent="0.25">
      <c r="A72" s="30">
        <v>11</v>
      </c>
      <c r="B72" s="26">
        <v>45709</v>
      </c>
      <c r="C72" s="2" t="s">
        <v>8</v>
      </c>
      <c r="D72" t="s">
        <v>12</v>
      </c>
      <c r="E72" s="1">
        <v>-49.05</v>
      </c>
      <c r="F72" s="1">
        <f t="shared" si="1"/>
        <v>19021.119999999988</v>
      </c>
      <c r="G72" t="s">
        <v>75</v>
      </c>
      <c r="M72" s="23">
        <v>10</v>
      </c>
      <c r="N72" s="13" t="s">
        <v>39</v>
      </c>
    </row>
    <row r="73" spans="1:14" x14ac:dyDescent="0.25">
      <c r="A73" s="30">
        <v>16</v>
      </c>
      <c r="B73" s="26">
        <v>45712</v>
      </c>
      <c r="C73" s="2" t="s">
        <v>8</v>
      </c>
      <c r="D73" t="s">
        <v>160</v>
      </c>
      <c r="E73" s="1">
        <v>-11.32</v>
      </c>
      <c r="F73" s="1">
        <f t="shared" si="1"/>
        <v>19009.799999999988</v>
      </c>
      <c r="G73" t="s">
        <v>75</v>
      </c>
      <c r="M73" s="23">
        <v>11</v>
      </c>
      <c r="N73" s="13" t="s">
        <v>40</v>
      </c>
    </row>
    <row r="74" spans="1:14" x14ac:dyDescent="0.25">
      <c r="A74" s="30">
        <v>19</v>
      </c>
      <c r="B74" s="26">
        <v>45712</v>
      </c>
      <c r="C74" s="2" t="s">
        <v>82</v>
      </c>
      <c r="D74" t="s">
        <v>462</v>
      </c>
      <c r="E74" s="1">
        <v>-40.98</v>
      </c>
      <c r="F74" s="1">
        <f t="shared" si="1"/>
        <v>18968.819999999989</v>
      </c>
      <c r="G74">
        <v>12</v>
      </c>
      <c r="M74" s="23">
        <v>12</v>
      </c>
      <c r="N74" s="13" t="s">
        <v>23</v>
      </c>
    </row>
    <row r="75" spans="1:14" x14ac:dyDescent="0.25">
      <c r="A75" s="30">
        <v>21</v>
      </c>
      <c r="B75" s="26">
        <v>45712</v>
      </c>
      <c r="C75" s="2" t="s">
        <v>82</v>
      </c>
      <c r="D75" t="s">
        <v>463</v>
      </c>
      <c r="E75" s="1">
        <v>-39.99</v>
      </c>
      <c r="F75" s="1">
        <f t="shared" si="1"/>
        <v>18928.829999999987</v>
      </c>
      <c r="G75">
        <v>13</v>
      </c>
      <c r="M75" s="23">
        <v>13</v>
      </c>
      <c r="N75" s="13" t="s">
        <v>149</v>
      </c>
    </row>
    <row r="76" spans="1:14" x14ac:dyDescent="0.25">
      <c r="A76" s="30">
        <v>16</v>
      </c>
      <c r="B76" s="26">
        <v>45712</v>
      </c>
      <c r="C76" s="2" t="s">
        <v>82</v>
      </c>
      <c r="D76" t="s">
        <v>464</v>
      </c>
      <c r="E76" s="1">
        <v>-19.2</v>
      </c>
      <c r="F76" s="1">
        <f t="shared" si="1"/>
        <v>18909.629999999986</v>
      </c>
      <c r="G76">
        <v>14</v>
      </c>
      <c r="M76" s="23">
        <v>14</v>
      </c>
      <c r="N76" s="13" t="s">
        <v>42</v>
      </c>
    </row>
    <row r="77" spans="1:14" x14ac:dyDescent="0.25">
      <c r="A77" s="30">
        <v>1</v>
      </c>
      <c r="B77" s="26">
        <v>45712</v>
      </c>
      <c r="C77" s="2" t="s">
        <v>9</v>
      </c>
      <c r="D77" t="s">
        <v>14</v>
      </c>
      <c r="E77" s="1">
        <v>60</v>
      </c>
      <c r="F77" s="1">
        <f t="shared" si="1"/>
        <v>18969.629999999986</v>
      </c>
      <c r="M77" s="23">
        <v>15</v>
      </c>
      <c r="N77" s="13" t="s">
        <v>43</v>
      </c>
    </row>
    <row r="78" spans="1:14" x14ac:dyDescent="0.25">
      <c r="A78" s="30">
        <v>1</v>
      </c>
      <c r="B78" s="26">
        <v>45712</v>
      </c>
      <c r="C78" s="2" t="s">
        <v>83</v>
      </c>
      <c r="D78" t="s">
        <v>398</v>
      </c>
      <c r="E78" s="1">
        <v>55</v>
      </c>
      <c r="F78" s="1">
        <f t="shared" si="1"/>
        <v>19024.629999999986</v>
      </c>
      <c r="H78" t="s">
        <v>400</v>
      </c>
      <c r="M78" s="23">
        <v>16</v>
      </c>
      <c r="N78" s="13" t="s">
        <v>44</v>
      </c>
    </row>
    <row r="79" spans="1:14" x14ac:dyDescent="0.25">
      <c r="A79" s="30">
        <v>14</v>
      </c>
      <c r="B79" s="26">
        <v>45713</v>
      </c>
      <c r="C79" s="2" t="s">
        <v>82</v>
      </c>
      <c r="D79" t="s">
        <v>108</v>
      </c>
      <c r="E79" s="1">
        <v>-1109.3</v>
      </c>
      <c r="F79" s="1">
        <f t="shared" si="1"/>
        <v>17915.329999999987</v>
      </c>
      <c r="G79" t="s">
        <v>8</v>
      </c>
      <c r="M79" s="23">
        <v>17</v>
      </c>
      <c r="N79" s="13" t="s">
        <v>45</v>
      </c>
    </row>
    <row r="80" spans="1:14" x14ac:dyDescent="0.25">
      <c r="A80" s="30">
        <v>13</v>
      </c>
      <c r="B80" s="26">
        <v>45713</v>
      </c>
      <c r="C80" s="2" t="s">
        <v>82</v>
      </c>
      <c r="D80" t="s">
        <v>101</v>
      </c>
      <c r="E80" s="1">
        <v>-278.8</v>
      </c>
      <c r="F80" s="1">
        <f t="shared" si="1"/>
        <v>17636.529999999988</v>
      </c>
      <c r="G80" t="s">
        <v>8</v>
      </c>
      <c r="M80" s="23">
        <v>18</v>
      </c>
      <c r="N80" s="13" t="s">
        <v>46</v>
      </c>
    </row>
    <row r="81" spans="1:14" x14ac:dyDescent="0.25">
      <c r="A81" s="30">
        <v>15</v>
      </c>
      <c r="B81" s="26">
        <v>45714</v>
      </c>
      <c r="C81" s="2" t="s">
        <v>82</v>
      </c>
      <c r="D81" t="s">
        <v>399</v>
      </c>
      <c r="E81" s="1">
        <v>-612.5</v>
      </c>
      <c r="F81" s="1">
        <f t="shared" si="1"/>
        <v>17024.029999999988</v>
      </c>
      <c r="G81">
        <v>15</v>
      </c>
      <c r="M81" s="23">
        <v>19</v>
      </c>
      <c r="N81" s="13" t="s">
        <v>47</v>
      </c>
    </row>
    <row r="82" spans="1:14" x14ac:dyDescent="0.25">
      <c r="A82" s="30">
        <v>25</v>
      </c>
      <c r="B82" s="26">
        <v>45714</v>
      </c>
      <c r="C82" s="2" t="s">
        <v>82</v>
      </c>
      <c r="D82" t="s">
        <v>118</v>
      </c>
      <c r="E82" s="1">
        <v>-80</v>
      </c>
      <c r="F82" s="1">
        <f t="shared" ref="F82:F87" si="2">F81+E82</f>
        <v>16944.029999999988</v>
      </c>
      <c r="G82">
        <v>16</v>
      </c>
      <c r="M82" s="23">
        <v>20</v>
      </c>
      <c r="N82" s="13" t="s">
        <v>27</v>
      </c>
    </row>
    <row r="83" spans="1:14" x14ac:dyDescent="0.25">
      <c r="A83" s="30">
        <v>20</v>
      </c>
      <c r="B83" s="26">
        <v>45714</v>
      </c>
      <c r="C83" s="2" t="s">
        <v>82</v>
      </c>
      <c r="D83" t="s">
        <v>118</v>
      </c>
      <c r="E83" s="1">
        <v>-44.16</v>
      </c>
      <c r="F83" s="1">
        <f t="shared" si="2"/>
        <v>16899.869999999988</v>
      </c>
      <c r="G83">
        <v>16</v>
      </c>
      <c r="M83" s="23">
        <v>21</v>
      </c>
      <c r="N83" s="13" t="s">
        <v>28</v>
      </c>
    </row>
    <row r="84" spans="1:14" x14ac:dyDescent="0.25">
      <c r="A84" s="30">
        <v>17</v>
      </c>
      <c r="B84" s="26">
        <v>45714</v>
      </c>
      <c r="C84" s="2" t="s">
        <v>82</v>
      </c>
      <c r="D84" t="s">
        <v>118</v>
      </c>
      <c r="E84" s="1">
        <v>-3.49</v>
      </c>
      <c r="F84" s="1">
        <f t="shared" si="2"/>
        <v>16896.379999999986</v>
      </c>
      <c r="G84">
        <v>16</v>
      </c>
      <c r="M84" s="23">
        <v>22</v>
      </c>
      <c r="N84" s="13" t="s">
        <v>49</v>
      </c>
    </row>
    <row r="85" spans="1:14" x14ac:dyDescent="0.25">
      <c r="A85" s="30">
        <v>23</v>
      </c>
      <c r="B85" s="26">
        <v>45716</v>
      </c>
      <c r="C85" s="2" t="s">
        <v>83</v>
      </c>
      <c r="D85" t="s">
        <v>74</v>
      </c>
      <c r="E85" s="1">
        <v>35.65</v>
      </c>
      <c r="F85" s="1">
        <f t="shared" si="2"/>
        <v>16932.029999999988</v>
      </c>
      <c r="M85" s="23">
        <v>23</v>
      </c>
    </row>
    <row r="86" spans="1:14" x14ac:dyDescent="0.25">
      <c r="A86" s="30">
        <v>1</v>
      </c>
      <c r="B86" s="26">
        <v>45716</v>
      </c>
      <c r="C86" s="2" t="s">
        <v>83</v>
      </c>
      <c r="D86" t="s">
        <v>253</v>
      </c>
      <c r="E86" s="1">
        <v>75</v>
      </c>
      <c r="F86" s="1">
        <f t="shared" si="2"/>
        <v>17007.029999999988</v>
      </c>
      <c r="H86" t="s">
        <v>400</v>
      </c>
      <c r="M86" s="23">
        <v>24</v>
      </c>
    </row>
    <row r="87" spans="1:14" x14ac:dyDescent="0.25">
      <c r="A87" s="30">
        <v>1</v>
      </c>
      <c r="B87" s="26">
        <v>45716</v>
      </c>
      <c r="C87" s="2" t="s">
        <v>80</v>
      </c>
      <c r="D87" t="s">
        <v>92</v>
      </c>
      <c r="E87" s="1">
        <v>15</v>
      </c>
      <c r="F87" s="1">
        <f t="shared" si="2"/>
        <v>17022.029999999988</v>
      </c>
      <c r="M87" s="23">
        <v>25</v>
      </c>
    </row>
    <row r="88" spans="1:14" hidden="1" x14ac:dyDescent="0.25">
      <c r="B88" s="26"/>
      <c r="E88" s="1"/>
      <c r="F88" s="1"/>
    </row>
    <row r="89" spans="1:14" hidden="1" x14ac:dyDescent="0.25">
      <c r="B89" s="26"/>
      <c r="E89" s="1"/>
      <c r="F89" s="1"/>
    </row>
    <row r="90" spans="1:14" hidden="1" x14ac:dyDescent="0.25">
      <c r="B90" s="26"/>
      <c r="E90" s="1"/>
      <c r="F90" s="1"/>
    </row>
    <row r="91" spans="1:14" hidden="1" x14ac:dyDescent="0.25">
      <c r="B91" s="26"/>
      <c r="E91" s="1"/>
      <c r="F91" s="1"/>
    </row>
    <row r="92" spans="1:14" hidden="1" x14ac:dyDescent="0.25">
      <c r="B92" s="26"/>
      <c r="E92" s="1"/>
      <c r="F92" s="1"/>
    </row>
    <row r="93" spans="1:14" hidden="1" x14ac:dyDescent="0.25">
      <c r="B93" s="26"/>
      <c r="E93" s="1"/>
      <c r="F93" s="1"/>
    </row>
    <row r="94" spans="1:14" hidden="1" x14ac:dyDescent="0.25">
      <c r="B94" s="26"/>
      <c r="E94" s="1"/>
      <c r="F94" s="1"/>
    </row>
    <row r="95" spans="1:14" hidden="1" x14ac:dyDescent="0.25">
      <c r="B95" s="26"/>
      <c r="E95" s="1"/>
      <c r="F95" s="1"/>
    </row>
    <row r="96" spans="1:14" hidden="1" x14ac:dyDescent="0.25">
      <c r="B96" s="26"/>
      <c r="E96" s="1"/>
      <c r="F96" s="1"/>
    </row>
    <row r="97" spans="2:22" hidden="1" x14ac:dyDescent="0.25">
      <c r="B97" s="26"/>
      <c r="E97" s="1"/>
      <c r="F97" s="1"/>
    </row>
    <row r="98" spans="2:22" hidden="1" x14ac:dyDescent="0.25">
      <c r="B98" s="26"/>
      <c r="E98" s="1"/>
      <c r="F98" s="1"/>
    </row>
    <row r="99" spans="2:22" hidden="1" x14ac:dyDescent="0.25">
      <c r="B99" s="26"/>
      <c r="E99" s="1"/>
      <c r="F99" s="1"/>
    </row>
    <row r="100" spans="2:22" hidden="1" x14ac:dyDescent="0.25">
      <c r="B100" s="26"/>
      <c r="E100" s="1"/>
      <c r="F100" s="1"/>
    </row>
    <row r="101" spans="2:22" hidden="1" x14ac:dyDescent="0.25">
      <c r="B101" s="26"/>
      <c r="E101" s="1"/>
      <c r="F101" s="1"/>
    </row>
    <row r="102" spans="2:22" hidden="1" x14ac:dyDescent="0.25">
      <c r="B102" s="26"/>
      <c r="E102" s="1"/>
      <c r="F102" s="1"/>
    </row>
    <row r="103" spans="2:22" hidden="1" x14ac:dyDescent="0.25">
      <c r="B103" s="26"/>
      <c r="E103" s="1"/>
      <c r="F103" s="1"/>
    </row>
    <row r="104" spans="2:22" hidden="1" x14ac:dyDescent="0.25">
      <c r="B104" s="26"/>
      <c r="E104" s="1"/>
      <c r="F104" s="1"/>
    </row>
    <row r="105" spans="2:22" hidden="1" x14ac:dyDescent="0.25">
      <c r="B105" s="26"/>
      <c r="E105" s="1"/>
      <c r="F105" s="1"/>
      <c r="V105" s="26"/>
    </row>
    <row r="106" spans="2:22" hidden="1" x14ac:dyDescent="0.25">
      <c r="B106" s="26"/>
      <c r="E106" s="1"/>
      <c r="F106" s="1"/>
    </row>
    <row r="107" spans="2:22" hidden="1" x14ac:dyDescent="0.25">
      <c r="B107" s="26"/>
      <c r="E107" s="1"/>
      <c r="F107" s="1"/>
      <c r="U107" t="s">
        <v>51</v>
      </c>
    </row>
    <row r="108" spans="2:22" hidden="1" x14ac:dyDescent="0.25">
      <c r="B108" s="26"/>
      <c r="E108" s="1"/>
      <c r="F108" s="1"/>
      <c r="V108" s="26"/>
    </row>
    <row r="109" spans="2:22" hidden="1" x14ac:dyDescent="0.25">
      <c r="B109" s="26"/>
      <c r="E109" s="1"/>
      <c r="F109" s="1"/>
    </row>
    <row r="110" spans="2:22" hidden="1" x14ac:dyDescent="0.25">
      <c r="B110" s="26"/>
      <c r="E110" s="1"/>
      <c r="F110" s="1"/>
    </row>
    <row r="111" spans="2:22" hidden="1" x14ac:dyDescent="0.25">
      <c r="B111" s="26"/>
      <c r="E111" s="1"/>
      <c r="F111" s="1"/>
    </row>
    <row r="112" spans="2:22" hidden="1" x14ac:dyDescent="0.25">
      <c r="B112" s="26"/>
      <c r="E112" s="1"/>
      <c r="F112" s="1"/>
    </row>
    <row r="113" spans="2:6" hidden="1" x14ac:dyDescent="0.25">
      <c r="B113" s="26"/>
      <c r="E113" s="1"/>
      <c r="F113" s="1"/>
    </row>
    <row r="114" spans="2:6" hidden="1" x14ac:dyDescent="0.25">
      <c r="B114" s="26"/>
      <c r="E114" s="1"/>
      <c r="F114" s="1"/>
    </row>
    <row r="115" spans="2:6" hidden="1" x14ac:dyDescent="0.25">
      <c r="B115" s="26"/>
      <c r="E115" s="1"/>
      <c r="F115" s="1"/>
    </row>
    <row r="116" spans="2:6" hidden="1" x14ac:dyDescent="0.25">
      <c r="B116" s="26"/>
      <c r="E116" s="1"/>
      <c r="F116" s="1"/>
    </row>
    <row r="117" spans="2:6" hidden="1" x14ac:dyDescent="0.25">
      <c r="B117" s="26"/>
      <c r="E117" s="1"/>
      <c r="F117" s="1"/>
    </row>
    <row r="118" spans="2:6" hidden="1" x14ac:dyDescent="0.25">
      <c r="B118" s="26"/>
      <c r="E118" s="1"/>
      <c r="F118" s="1"/>
    </row>
    <row r="119" spans="2:6" hidden="1" x14ac:dyDescent="0.25">
      <c r="B119" s="26"/>
      <c r="E119" s="1"/>
      <c r="F119" s="1"/>
    </row>
    <row r="120" spans="2:6" hidden="1" x14ac:dyDescent="0.25">
      <c r="B120" s="26"/>
      <c r="E120" s="1"/>
      <c r="F120" s="1"/>
    </row>
    <row r="121" spans="2:6" hidden="1" x14ac:dyDescent="0.25">
      <c r="B121" s="26"/>
      <c r="E121" s="1"/>
      <c r="F121" s="1"/>
    </row>
    <row r="122" spans="2:6" hidden="1" x14ac:dyDescent="0.25">
      <c r="B122" s="26"/>
      <c r="E122" s="1"/>
      <c r="F122" s="1"/>
    </row>
    <row r="123" spans="2:6" hidden="1" x14ac:dyDescent="0.25">
      <c r="B123" s="26"/>
      <c r="E123" s="1"/>
      <c r="F123" s="1"/>
    </row>
    <row r="124" spans="2:6" hidden="1" x14ac:dyDescent="0.25">
      <c r="B124" s="26"/>
      <c r="E124" s="1"/>
      <c r="F124" s="1"/>
    </row>
    <row r="125" spans="2:6" hidden="1" x14ac:dyDescent="0.25">
      <c r="B125" s="26"/>
      <c r="E125" s="1"/>
      <c r="F125" s="1"/>
    </row>
    <row r="126" spans="2:6" hidden="1" x14ac:dyDescent="0.25">
      <c r="B126" s="26"/>
      <c r="E126" s="1"/>
      <c r="F126" s="1"/>
    </row>
    <row r="127" spans="2:6" hidden="1" x14ac:dyDescent="0.25">
      <c r="B127" s="26"/>
      <c r="E127" s="1"/>
      <c r="F127" s="1"/>
    </row>
    <row r="128" spans="2:6" hidden="1" x14ac:dyDescent="0.25">
      <c r="B128" s="26"/>
      <c r="E128" s="1"/>
      <c r="F128" s="1"/>
    </row>
    <row r="129" spans="2:6" hidden="1" x14ac:dyDescent="0.25">
      <c r="B129" s="26"/>
      <c r="E129" s="1"/>
      <c r="F129" s="1"/>
    </row>
    <row r="130" spans="2:6" hidden="1" x14ac:dyDescent="0.25">
      <c r="B130" s="26"/>
      <c r="E130" s="1"/>
      <c r="F130" s="1"/>
    </row>
    <row r="131" spans="2:6" hidden="1" x14ac:dyDescent="0.25">
      <c r="B131" s="26"/>
      <c r="E131" s="1"/>
      <c r="F131" s="1"/>
    </row>
    <row r="132" spans="2:6" hidden="1" x14ac:dyDescent="0.25">
      <c r="B132" s="26"/>
      <c r="E132" s="1"/>
      <c r="F132" s="1"/>
    </row>
    <row r="133" spans="2:6" hidden="1" x14ac:dyDescent="0.25">
      <c r="B133" s="26"/>
      <c r="E133" s="1"/>
      <c r="F133" s="1"/>
    </row>
    <row r="134" spans="2:6" hidden="1" x14ac:dyDescent="0.25">
      <c r="B134" s="26"/>
      <c r="E134" s="1"/>
      <c r="F134" s="1"/>
    </row>
    <row r="135" spans="2:6" hidden="1" x14ac:dyDescent="0.25">
      <c r="B135" s="26"/>
      <c r="E135" s="1"/>
      <c r="F135" s="1"/>
    </row>
    <row r="136" spans="2:6" hidden="1" x14ac:dyDescent="0.25">
      <c r="B136" s="26"/>
      <c r="E136" s="1"/>
      <c r="F136" s="1"/>
    </row>
    <row r="137" spans="2:6" hidden="1" x14ac:dyDescent="0.25">
      <c r="B137" s="26"/>
      <c r="E137" s="1"/>
      <c r="F137" s="1"/>
    </row>
    <row r="138" spans="2:6" hidden="1" x14ac:dyDescent="0.25">
      <c r="B138" s="26"/>
      <c r="E138" s="1"/>
      <c r="F138" s="1"/>
    </row>
    <row r="139" spans="2:6" hidden="1" x14ac:dyDescent="0.25">
      <c r="B139" s="26"/>
      <c r="E139" s="1"/>
      <c r="F139" s="1"/>
    </row>
    <row r="140" spans="2:6" hidden="1" x14ac:dyDescent="0.25">
      <c r="B140" s="26"/>
      <c r="E140" s="1"/>
      <c r="F140" s="1"/>
    </row>
    <row r="141" spans="2:6" hidden="1" x14ac:dyDescent="0.25">
      <c r="B141" s="26"/>
      <c r="E141" s="1"/>
      <c r="F141" s="1"/>
    </row>
    <row r="142" spans="2:6" hidden="1" x14ac:dyDescent="0.25">
      <c r="B142" s="26"/>
      <c r="E142" s="1"/>
      <c r="F142" s="1"/>
    </row>
    <row r="143" spans="2:6" hidden="1" x14ac:dyDescent="0.25">
      <c r="B143" s="26"/>
      <c r="E143" s="1"/>
      <c r="F143" s="1"/>
    </row>
    <row r="144" spans="2:6" hidden="1" x14ac:dyDescent="0.25">
      <c r="B144" s="26"/>
      <c r="E144" s="1"/>
      <c r="F144" s="1"/>
    </row>
    <row r="145" spans="1:10" hidden="1" x14ac:dyDescent="0.25">
      <c r="B145" s="26"/>
      <c r="E145" s="1"/>
      <c r="F145" s="1"/>
    </row>
    <row r="146" spans="1:10" hidden="1" x14ac:dyDescent="0.25">
      <c r="B146" s="26"/>
      <c r="E146" s="1"/>
      <c r="F146" s="1"/>
    </row>
    <row r="147" spans="1:10" hidden="1" x14ac:dyDescent="0.25">
      <c r="B147" s="26"/>
      <c r="E147" s="1"/>
      <c r="F147" s="1"/>
    </row>
    <row r="148" spans="1:10" hidden="1" x14ac:dyDescent="0.25">
      <c r="B148" s="26"/>
      <c r="E148" s="1"/>
      <c r="F148" s="1"/>
    </row>
    <row r="149" spans="1:10" hidden="1" x14ac:dyDescent="0.25">
      <c r="B149" s="26"/>
      <c r="E149" s="1"/>
      <c r="F149" s="1"/>
    </row>
    <row r="150" spans="1:10" hidden="1" x14ac:dyDescent="0.25">
      <c r="B150" s="26"/>
      <c r="E150" s="1"/>
      <c r="F150" s="1"/>
    </row>
    <row r="151" spans="1:10" hidden="1" x14ac:dyDescent="0.25">
      <c r="B151" s="26"/>
      <c r="E151" s="1"/>
      <c r="F151" s="1"/>
    </row>
    <row r="152" spans="1:10" hidden="1" x14ac:dyDescent="0.25">
      <c r="B152" s="26"/>
      <c r="E152" s="1"/>
      <c r="F152" s="1"/>
    </row>
    <row r="153" spans="1:10" hidden="1" x14ac:dyDescent="0.25">
      <c r="B153" s="26"/>
      <c r="E153" s="1"/>
      <c r="F153" s="1"/>
    </row>
    <row r="154" spans="1:10" hidden="1" x14ac:dyDescent="0.25">
      <c r="B154" s="26"/>
      <c r="E154" s="1"/>
      <c r="F154" s="1"/>
    </row>
    <row r="155" spans="1:10" hidden="1" x14ac:dyDescent="0.25">
      <c r="B155" s="26"/>
      <c r="E155" s="1"/>
      <c r="F155" s="1"/>
    </row>
    <row r="156" spans="1:10" hidden="1" x14ac:dyDescent="0.25">
      <c r="E156" s="1"/>
      <c r="F156" s="1"/>
    </row>
    <row r="157" spans="1:10" hidden="1" x14ac:dyDescent="0.25">
      <c r="E157" s="1"/>
      <c r="F157" s="1"/>
    </row>
    <row r="158" spans="1:10" hidden="1" x14ac:dyDescent="0.25">
      <c r="E158" s="1"/>
      <c r="F158" s="1"/>
    </row>
    <row r="159" spans="1:10" x14ac:dyDescent="0.25">
      <c r="A159" s="30">
        <v>1</v>
      </c>
      <c r="B159" s="26">
        <v>45719</v>
      </c>
      <c r="C159" s="2" t="s">
        <v>83</v>
      </c>
      <c r="D159" t="s">
        <v>104</v>
      </c>
      <c r="E159" s="1">
        <v>180</v>
      </c>
      <c r="F159" s="1">
        <f>F87+E159</f>
        <v>17202.029999999988</v>
      </c>
      <c r="J159" s="1"/>
    </row>
    <row r="160" spans="1:10" x14ac:dyDescent="0.25">
      <c r="A160" s="30">
        <v>1</v>
      </c>
      <c r="B160" s="26">
        <v>45719</v>
      </c>
      <c r="C160" s="2" t="s">
        <v>80</v>
      </c>
      <c r="D160" t="s">
        <v>90</v>
      </c>
      <c r="E160" s="1">
        <v>150</v>
      </c>
      <c r="F160" s="1">
        <f t="shared" ref="F160:F208" si="3">F159+E160</f>
        <v>17352.029999999988</v>
      </c>
    </row>
    <row r="161" spans="1:7" x14ac:dyDescent="0.25">
      <c r="A161" s="30">
        <v>23</v>
      </c>
      <c r="B161" s="26">
        <v>45719</v>
      </c>
      <c r="C161" s="2" t="s">
        <v>8</v>
      </c>
      <c r="D161" t="s">
        <v>254</v>
      </c>
      <c r="E161" s="1">
        <v>-28.52</v>
      </c>
      <c r="F161" s="1">
        <f t="shared" si="3"/>
        <v>17323.509999999987</v>
      </c>
      <c r="G161" t="s">
        <v>410</v>
      </c>
    </row>
    <row r="162" spans="1:7" x14ac:dyDescent="0.25">
      <c r="A162" s="30">
        <v>1</v>
      </c>
      <c r="B162" s="26">
        <v>45720</v>
      </c>
      <c r="C162" s="2" t="s">
        <v>83</v>
      </c>
      <c r="D162" t="s">
        <v>86</v>
      </c>
      <c r="E162" s="1">
        <v>325</v>
      </c>
      <c r="F162" s="1">
        <f t="shared" si="3"/>
        <v>17648.509999999987</v>
      </c>
    </row>
    <row r="163" spans="1:7" x14ac:dyDescent="0.25">
      <c r="A163" s="30">
        <v>1</v>
      </c>
      <c r="B163" s="26">
        <v>45723</v>
      </c>
      <c r="C163" s="2" t="s">
        <v>80</v>
      </c>
      <c r="D163" t="s">
        <v>92</v>
      </c>
      <c r="E163" s="1">
        <v>15</v>
      </c>
      <c r="F163" s="1">
        <f t="shared" si="3"/>
        <v>17663.509999999987</v>
      </c>
    </row>
    <row r="164" spans="1:7" x14ac:dyDescent="0.25">
      <c r="A164" s="30">
        <v>19</v>
      </c>
      <c r="B164" s="26">
        <v>45723</v>
      </c>
      <c r="C164" s="2" t="s">
        <v>82</v>
      </c>
      <c r="D164" t="s">
        <v>401</v>
      </c>
      <c r="E164" s="1">
        <v>-1635</v>
      </c>
      <c r="F164" s="1">
        <f t="shared" si="3"/>
        <v>16028.509999999987</v>
      </c>
      <c r="G164">
        <v>17</v>
      </c>
    </row>
    <row r="165" spans="1:7" x14ac:dyDescent="0.25">
      <c r="A165" s="30">
        <v>16</v>
      </c>
      <c r="B165" s="26">
        <v>45728</v>
      </c>
      <c r="C165" s="2" t="s">
        <v>8</v>
      </c>
      <c r="D165" t="s">
        <v>11</v>
      </c>
      <c r="E165" s="1">
        <v>-35.39</v>
      </c>
      <c r="F165" s="1">
        <f t="shared" si="3"/>
        <v>15993.119999999988</v>
      </c>
      <c r="G165" t="s">
        <v>8</v>
      </c>
    </row>
    <row r="166" spans="1:7" x14ac:dyDescent="0.25">
      <c r="A166" s="30">
        <v>1</v>
      </c>
      <c r="B166" s="26">
        <v>45730</v>
      </c>
      <c r="C166" s="2" t="s">
        <v>83</v>
      </c>
      <c r="D166" t="s">
        <v>153</v>
      </c>
      <c r="E166" s="1">
        <v>120</v>
      </c>
      <c r="F166" s="1">
        <f t="shared" si="3"/>
        <v>16113.119999999988</v>
      </c>
    </row>
    <row r="167" spans="1:7" x14ac:dyDescent="0.25">
      <c r="A167" s="30">
        <v>1</v>
      </c>
      <c r="B167" s="26">
        <v>45733</v>
      </c>
      <c r="C167" s="2" t="s">
        <v>83</v>
      </c>
      <c r="D167" t="s">
        <v>15</v>
      </c>
      <c r="E167" s="1">
        <v>355</v>
      </c>
      <c r="F167" s="1">
        <f t="shared" si="3"/>
        <v>16468.119999999988</v>
      </c>
    </row>
    <row r="168" spans="1:7" x14ac:dyDescent="0.25">
      <c r="A168" s="30">
        <v>1</v>
      </c>
      <c r="B168" s="26">
        <v>45733</v>
      </c>
      <c r="C168" s="2" t="s">
        <v>80</v>
      </c>
      <c r="D168" t="s">
        <v>92</v>
      </c>
      <c r="E168" s="1">
        <v>15</v>
      </c>
      <c r="F168" s="1">
        <f t="shared" si="3"/>
        <v>16483.119999999988</v>
      </c>
    </row>
    <row r="169" spans="1:7" x14ac:dyDescent="0.25">
      <c r="A169" s="30">
        <v>1</v>
      </c>
      <c r="B169" s="26">
        <v>45735</v>
      </c>
      <c r="C169" s="2" t="s">
        <v>83</v>
      </c>
      <c r="D169" t="s">
        <v>87</v>
      </c>
      <c r="E169" s="1">
        <v>45</v>
      </c>
      <c r="F169" s="1">
        <f t="shared" si="3"/>
        <v>16528.119999999988</v>
      </c>
    </row>
    <row r="170" spans="1:7" x14ac:dyDescent="0.25">
      <c r="A170" s="30">
        <v>1</v>
      </c>
      <c r="B170" s="26">
        <v>45736</v>
      </c>
      <c r="C170" s="2" t="s">
        <v>83</v>
      </c>
      <c r="D170" t="s">
        <v>15</v>
      </c>
      <c r="E170" s="1">
        <v>45</v>
      </c>
      <c r="F170" s="1">
        <f t="shared" si="3"/>
        <v>16573.119999999988</v>
      </c>
    </row>
    <row r="171" spans="1:7" x14ac:dyDescent="0.25">
      <c r="A171" s="30">
        <v>7</v>
      </c>
      <c r="B171" s="26">
        <v>45736</v>
      </c>
      <c r="C171" s="2" t="s">
        <v>83</v>
      </c>
      <c r="D171" t="s">
        <v>402</v>
      </c>
      <c r="E171" s="1">
        <v>46900</v>
      </c>
      <c r="F171" s="1">
        <f t="shared" si="3"/>
        <v>63473.119999999988</v>
      </c>
    </row>
    <row r="172" spans="1:7" x14ac:dyDescent="0.25">
      <c r="A172" s="30">
        <v>1</v>
      </c>
      <c r="B172" s="26">
        <v>45737</v>
      </c>
      <c r="C172" s="2" t="s">
        <v>80</v>
      </c>
      <c r="D172" t="s">
        <v>92</v>
      </c>
      <c r="E172" s="1">
        <v>15</v>
      </c>
      <c r="F172" s="1">
        <f t="shared" si="3"/>
        <v>63488.119999999988</v>
      </c>
    </row>
    <row r="173" spans="1:7" x14ac:dyDescent="0.25">
      <c r="A173" s="30">
        <v>13</v>
      </c>
      <c r="B173" s="26">
        <v>45737</v>
      </c>
      <c r="C173" s="2" t="s">
        <v>8</v>
      </c>
      <c r="D173" t="s">
        <v>101</v>
      </c>
      <c r="E173" s="1">
        <v>-239.72</v>
      </c>
      <c r="F173" s="1">
        <f t="shared" si="3"/>
        <v>63248.399999999987</v>
      </c>
      <c r="G173" t="s">
        <v>8</v>
      </c>
    </row>
    <row r="174" spans="1:7" x14ac:dyDescent="0.25">
      <c r="A174" s="30">
        <v>1</v>
      </c>
      <c r="B174" s="26">
        <v>45740</v>
      </c>
      <c r="C174" s="2" t="s">
        <v>83</v>
      </c>
      <c r="D174" t="s">
        <v>198</v>
      </c>
      <c r="E174" s="1">
        <v>9.33</v>
      </c>
      <c r="F174" s="1">
        <f t="shared" si="3"/>
        <v>63257.729999999989</v>
      </c>
    </row>
    <row r="175" spans="1:7" x14ac:dyDescent="0.25">
      <c r="A175" s="30">
        <v>1</v>
      </c>
      <c r="B175" s="26">
        <v>45740</v>
      </c>
      <c r="C175" s="2" t="s">
        <v>83</v>
      </c>
      <c r="D175" t="s">
        <v>198</v>
      </c>
      <c r="E175" s="1">
        <v>192.5</v>
      </c>
      <c r="F175" s="1">
        <f t="shared" si="3"/>
        <v>63450.229999999989</v>
      </c>
    </row>
    <row r="176" spans="1:7" x14ac:dyDescent="0.25">
      <c r="A176" s="30">
        <v>1</v>
      </c>
      <c r="B176" s="26">
        <v>45740</v>
      </c>
      <c r="C176" s="2" t="s">
        <v>83</v>
      </c>
      <c r="D176" t="s">
        <v>198</v>
      </c>
      <c r="E176" s="1">
        <v>367.5</v>
      </c>
      <c r="F176" s="1">
        <f t="shared" si="3"/>
        <v>63817.729999999989</v>
      </c>
    </row>
    <row r="177" spans="1:14" x14ac:dyDescent="0.25">
      <c r="A177" s="30">
        <v>1</v>
      </c>
      <c r="B177" s="26">
        <v>45740</v>
      </c>
      <c r="C177" s="2" t="s">
        <v>83</v>
      </c>
      <c r="D177" t="s">
        <v>93</v>
      </c>
      <c r="E177" s="1">
        <v>15</v>
      </c>
      <c r="F177" s="1">
        <f t="shared" si="3"/>
        <v>63832.729999999989</v>
      </c>
    </row>
    <row r="178" spans="1:14" x14ac:dyDescent="0.25">
      <c r="A178" s="30">
        <v>1</v>
      </c>
      <c r="B178" s="26">
        <v>45740</v>
      </c>
      <c r="C178" s="2" t="s">
        <v>83</v>
      </c>
      <c r="D178" t="s">
        <v>14</v>
      </c>
      <c r="E178" s="1">
        <v>60</v>
      </c>
      <c r="F178" s="1">
        <f t="shared" si="3"/>
        <v>63892.729999999989</v>
      </c>
    </row>
    <row r="179" spans="1:14" x14ac:dyDescent="0.25">
      <c r="A179" s="30">
        <v>16</v>
      </c>
      <c r="B179" s="26">
        <v>45740</v>
      </c>
      <c r="C179" s="2" t="s">
        <v>82</v>
      </c>
      <c r="D179" t="s">
        <v>465</v>
      </c>
      <c r="E179" s="1">
        <v>-19.2</v>
      </c>
      <c r="F179" s="1">
        <f t="shared" si="3"/>
        <v>63873.529999999992</v>
      </c>
      <c r="G179">
        <v>18</v>
      </c>
    </row>
    <row r="180" spans="1:14" x14ac:dyDescent="0.25">
      <c r="A180" s="30">
        <v>16</v>
      </c>
      <c r="B180" s="26">
        <v>45740</v>
      </c>
      <c r="C180" s="2" t="s">
        <v>8</v>
      </c>
      <c r="D180" t="s">
        <v>160</v>
      </c>
      <c r="E180" s="1">
        <v>-11.32</v>
      </c>
      <c r="F180" s="1">
        <f t="shared" si="3"/>
        <v>63862.209999999992</v>
      </c>
      <c r="G180" t="s">
        <v>8</v>
      </c>
    </row>
    <row r="181" spans="1:14" x14ac:dyDescent="0.25">
      <c r="A181" s="30">
        <v>11</v>
      </c>
      <c r="B181" s="26">
        <v>45740</v>
      </c>
      <c r="C181" s="2" t="s">
        <v>8</v>
      </c>
      <c r="D181" t="s">
        <v>12</v>
      </c>
      <c r="E181" s="1">
        <v>-43.17</v>
      </c>
      <c r="F181" s="1">
        <f t="shared" si="3"/>
        <v>63819.039999999994</v>
      </c>
      <c r="G181" t="s">
        <v>8</v>
      </c>
    </row>
    <row r="182" spans="1:14" x14ac:dyDescent="0.25">
      <c r="A182" s="30">
        <v>1</v>
      </c>
      <c r="B182" s="26">
        <v>45741</v>
      </c>
      <c r="C182" s="2" t="s">
        <v>83</v>
      </c>
      <c r="D182" t="s">
        <v>198</v>
      </c>
      <c r="E182" s="1">
        <v>455</v>
      </c>
      <c r="F182" s="1">
        <f t="shared" si="3"/>
        <v>64274.039999999994</v>
      </c>
    </row>
    <row r="183" spans="1:14" x14ac:dyDescent="0.25">
      <c r="A183" s="30">
        <v>15</v>
      </c>
      <c r="B183" s="26">
        <v>45742</v>
      </c>
      <c r="C183" s="2" t="s">
        <v>82</v>
      </c>
      <c r="D183" t="s">
        <v>116</v>
      </c>
      <c r="E183" s="1">
        <v>-612.5</v>
      </c>
      <c r="F183" s="1">
        <f t="shared" si="3"/>
        <v>63661.539999999994</v>
      </c>
      <c r="G183">
        <v>19</v>
      </c>
    </row>
    <row r="184" spans="1:14" x14ac:dyDescent="0.25">
      <c r="A184" s="30">
        <v>10</v>
      </c>
      <c r="B184" s="26">
        <v>45743</v>
      </c>
      <c r="C184" s="2" t="s">
        <v>9</v>
      </c>
      <c r="D184" t="s">
        <v>10</v>
      </c>
      <c r="E184" s="1">
        <v>-12.5</v>
      </c>
      <c r="F184" s="1">
        <f t="shared" si="3"/>
        <v>63649.039999999994</v>
      </c>
      <c r="G184" t="s">
        <v>9</v>
      </c>
    </row>
    <row r="185" spans="1:14" x14ac:dyDescent="0.25">
      <c r="A185" s="30">
        <v>1</v>
      </c>
      <c r="B185" s="26">
        <v>45744</v>
      </c>
      <c r="C185" s="2" t="s">
        <v>83</v>
      </c>
      <c r="D185" t="s">
        <v>408</v>
      </c>
      <c r="E185" s="1">
        <v>55</v>
      </c>
      <c r="F185" s="1">
        <f t="shared" si="3"/>
        <v>63704.039999999994</v>
      </c>
      <c r="H185" t="s">
        <v>400</v>
      </c>
    </row>
    <row r="186" spans="1:14" x14ac:dyDescent="0.25">
      <c r="A186" s="30">
        <v>1</v>
      </c>
      <c r="B186" s="26">
        <v>45744</v>
      </c>
      <c r="C186" s="2" t="s">
        <v>80</v>
      </c>
      <c r="D186" t="s">
        <v>92</v>
      </c>
      <c r="E186" s="1">
        <v>15</v>
      </c>
      <c r="F186" s="1">
        <f t="shared" si="3"/>
        <v>63719.039999999994</v>
      </c>
    </row>
    <row r="187" spans="1:14" x14ac:dyDescent="0.25">
      <c r="B187" s="26">
        <v>45744</v>
      </c>
      <c r="C187" s="2" t="s">
        <v>82</v>
      </c>
      <c r="D187" t="s">
        <v>69</v>
      </c>
      <c r="E187" s="1">
        <v>-25000</v>
      </c>
      <c r="F187" s="1">
        <f t="shared" si="3"/>
        <v>38719.039999999994</v>
      </c>
      <c r="G187" t="s">
        <v>409</v>
      </c>
    </row>
    <row r="188" spans="1:14" x14ac:dyDescent="0.25">
      <c r="A188" s="30">
        <v>14</v>
      </c>
      <c r="B188" s="26">
        <v>45747</v>
      </c>
      <c r="C188" s="2" t="s">
        <v>8</v>
      </c>
      <c r="D188" t="s">
        <v>108</v>
      </c>
      <c r="E188" s="1">
        <v>-634.63</v>
      </c>
      <c r="F188" s="1">
        <f t="shared" si="3"/>
        <v>38084.409999999996</v>
      </c>
      <c r="G188" t="s">
        <v>75</v>
      </c>
    </row>
    <row r="189" spans="1:14" x14ac:dyDescent="0.25">
      <c r="A189" s="30">
        <v>23</v>
      </c>
      <c r="B189" s="26">
        <v>45748</v>
      </c>
      <c r="C189" s="2" t="s">
        <v>8</v>
      </c>
      <c r="D189" t="s">
        <v>254</v>
      </c>
      <c r="E189" s="1">
        <v>-29.34</v>
      </c>
      <c r="F189" s="1">
        <f t="shared" si="3"/>
        <v>38055.07</v>
      </c>
      <c r="G189">
        <v>20</v>
      </c>
    </row>
    <row r="190" spans="1:14" x14ac:dyDescent="0.25">
      <c r="A190" s="30">
        <v>1</v>
      </c>
      <c r="B190" s="26">
        <v>45754</v>
      </c>
      <c r="C190" s="2" t="s">
        <v>80</v>
      </c>
      <c r="D190" t="s">
        <v>92</v>
      </c>
      <c r="E190" s="1">
        <v>15</v>
      </c>
      <c r="F190" s="1">
        <f t="shared" si="3"/>
        <v>38070.07</v>
      </c>
    </row>
    <row r="191" spans="1:14" x14ac:dyDescent="0.25">
      <c r="A191" s="30">
        <v>1</v>
      </c>
      <c r="B191" s="26">
        <v>45754</v>
      </c>
      <c r="C191" s="2" t="s">
        <v>80</v>
      </c>
      <c r="D191" t="s">
        <v>90</v>
      </c>
      <c r="E191" s="1">
        <v>60</v>
      </c>
      <c r="F191" s="1">
        <f t="shared" si="3"/>
        <v>38130.07</v>
      </c>
    </row>
    <row r="192" spans="1:14" x14ac:dyDescent="0.25">
      <c r="A192" s="30">
        <v>1</v>
      </c>
      <c r="B192" s="26">
        <v>45755</v>
      </c>
      <c r="C192" s="2" t="s">
        <v>83</v>
      </c>
      <c r="D192" t="s">
        <v>86</v>
      </c>
      <c r="E192" s="1">
        <v>130</v>
      </c>
      <c r="F192" s="1">
        <f t="shared" si="3"/>
        <v>38260.07</v>
      </c>
      <c r="N192" s="13" t="s">
        <v>17</v>
      </c>
    </row>
    <row r="193" spans="1:14" x14ac:dyDescent="0.25">
      <c r="A193" s="30">
        <v>16</v>
      </c>
      <c r="B193" s="26">
        <v>45756</v>
      </c>
      <c r="C193" s="2" t="s">
        <v>8</v>
      </c>
      <c r="D193" t="s">
        <v>11</v>
      </c>
      <c r="E193" s="1">
        <v>-44.38</v>
      </c>
      <c r="F193" s="1">
        <f t="shared" si="3"/>
        <v>38215.69</v>
      </c>
      <c r="G193" t="s">
        <v>8</v>
      </c>
      <c r="N193" s="13" t="s">
        <v>16</v>
      </c>
    </row>
    <row r="194" spans="1:14" x14ac:dyDescent="0.25">
      <c r="A194" s="30">
        <v>19</v>
      </c>
      <c r="B194" s="26">
        <v>45758</v>
      </c>
      <c r="C194" s="2" t="s">
        <v>82</v>
      </c>
      <c r="D194" t="s">
        <v>466</v>
      </c>
      <c r="E194" s="1">
        <v>-59.97</v>
      </c>
      <c r="F194" s="1">
        <f t="shared" si="3"/>
        <v>38155.72</v>
      </c>
      <c r="G194">
        <v>21</v>
      </c>
      <c r="M194" t="s">
        <v>77</v>
      </c>
      <c r="N194" s="13" t="s">
        <v>19</v>
      </c>
    </row>
    <row r="195" spans="1:14" x14ac:dyDescent="0.25">
      <c r="A195" s="30">
        <v>16</v>
      </c>
      <c r="B195" s="26">
        <v>45758</v>
      </c>
      <c r="C195" s="2" t="s">
        <v>82</v>
      </c>
      <c r="D195" t="s">
        <v>467</v>
      </c>
      <c r="E195" s="1">
        <v>-19.2</v>
      </c>
      <c r="F195" s="1">
        <f t="shared" si="3"/>
        <v>38136.520000000004</v>
      </c>
      <c r="G195">
        <v>22</v>
      </c>
      <c r="M195" s="23">
        <v>1</v>
      </c>
      <c r="N195" s="13" t="s">
        <v>22</v>
      </c>
    </row>
    <row r="196" spans="1:14" x14ac:dyDescent="0.25">
      <c r="A196" s="30">
        <v>1</v>
      </c>
      <c r="B196" s="26">
        <v>45761</v>
      </c>
      <c r="C196" s="2" t="s">
        <v>83</v>
      </c>
      <c r="D196" t="s">
        <v>153</v>
      </c>
      <c r="E196" s="1">
        <v>90</v>
      </c>
      <c r="F196" s="1">
        <f t="shared" si="3"/>
        <v>38226.520000000004</v>
      </c>
      <c r="M196" s="23">
        <v>2</v>
      </c>
      <c r="N196" s="13" t="s">
        <v>36</v>
      </c>
    </row>
    <row r="197" spans="1:14" x14ac:dyDescent="0.25">
      <c r="A197" s="30">
        <v>1</v>
      </c>
      <c r="B197" s="26">
        <v>45761</v>
      </c>
      <c r="C197" s="2" t="s">
        <v>83</v>
      </c>
      <c r="D197" t="s">
        <v>104</v>
      </c>
      <c r="E197" s="1">
        <v>90</v>
      </c>
      <c r="F197" s="1">
        <f t="shared" si="3"/>
        <v>38316.520000000004</v>
      </c>
      <c r="M197" s="23">
        <v>3</v>
      </c>
      <c r="N197" s="13" t="s">
        <v>24</v>
      </c>
    </row>
    <row r="198" spans="1:14" x14ac:dyDescent="0.25">
      <c r="A198" s="30">
        <v>1</v>
      </c>
      <c r="B198" s="26">
        <v>45761</v>
      </c>
      <c r="C198" s="2" t="s">
        <v>80</v>
      </c>
      <c r="D198" t="s">
        <v>92</v>
      </c>
      <c r="E198" s="1">
        <v>15</v>
      </c>
      <c r="F198" s="1">
        <f t="shared" si="3"/>
        <v>38331.520000000004</v>
      </c>
      <c r="M198" s="23">
        <v>4</v>
      </c>
      <c r="N198" s="13" t="s">
        <v>378</v>
      </c>
    </row>
    <row r="199" spans="1:14" x14ac:dyDescent="0.25">
      <c r="A199" s="30">
        <v>1</v>
      </c>
      <c r="B199" s="26">
        <v>45763</v>
      </c>
      <c r="C199" s="2" t="s">
        <v>80</v>
      </c>
      <c r="D199" t="s">
        <v>552</v>
      </c>
      <c r="E199" s="1">
        <v>605</v>
      </c>
      <c r="F199" s="1">
        <f t="shared" si="3"/>
        <v>38936.520000000004</v>
      </c>
      <c r="M199" s="23">
        <v>5</v>
      </c>
      <c r="N199" s="13" t="s">
        <v>147</v>
      </c>
    </row>
    <row r="200" spans="1:14" x14ac:dyDescent="0.25">
      <c r="A200" s="30">
        <v>1</v>
      </c>
      <c r="B200" s="26">
        <v>45763</v>
      </c>
      <c r="C200" s="2" t="s">
        <v>80</v>
      </c>
      <c r="D200" t="s">
        <v>552</v>
      </c>
      <c r="E200" s="1">
        <v>605</v>
      </c>
      <c r="F200" s="1">
        <f t="shared" si="3"/>
        <v>39541.520000000004</v>
      </c>
      <c r="M200" s="23">
        <v>6</v>
      </c>
      <c r="N200" s="13" t="s">
        <v>37</v>
      </c>
    </row>
    <row r="201" spans="1:14" x14ac:dyDescent="0.25">
      <c r="A201" s="30">
        <v>3</v>
      </c>
      <c r="B201" s="26">
        <v>45769</v>
      </c>
      <c r="C201" s="2" t="s">
        <v>83</v>
      </c>
      <c r="D201" t="s">
        <v>403</v>
      </c>
      <c r="E201" s="1">
        <v>15000</v>
      </c>
      <c r="F201" s="1">
        <f t="shared" si="3"/>
        <v>54541.520000000004</v>
      </c>
      <c r="M201" s="23">
        <v>7</v>
      </c>
      <c r="N201" s="13" t="s">
        <v>38</v>
      </c>
    </row>
    <row r="202" spans="1:14" x14ac:dyDescent="0.25">
      <c r="A202" s="30">
        <v>16</v>
      </c>
      <c r="B202" s="26">
        <v>45769</v>
      </c>
      <c r="C202" s="2" t="s">
        <v>8</v>
      </c>
      <c r="D202" t="s">
        <v>160</v>
      </c>
      <c r="E202" s="1">
        <v>-12.04</v>
      </c>
      <c r="F202" s="1">
        <f t="shared" si="3"/>
        <v>54529.48</v>
      </c>
      <c r="G202" t="s">
        <v>8</v>
      </c>
      <c r="J202" s="1"/>
      <c r="M202" s="23">
        <v>8</v>
      </c>
      <c r="N202" s="13" t="s">
        <v>13</v>
      </c>
    </row>
    <row r="203" spans="1:14" x14ac:dyDescent="0.25">
      <c r="A203" s="30">
        <v>1</v>
      </c>
      <c r="B203" s="26">
        <v>45770</v>
      </c>
      <c r="C203" s="2" t="s">
        <v>83</v>
      </c>
      <c r="D203" t="s">
        <v>404</v>
      </c>
      <c r="E203" s="1">
        <v>60</v>
      </c>
      <c r="F203" s="1">
        <f t="shared" si="3"/>
        <v>54589.48</v>
      </c>
      <c r="M203" s="23">
        <v>10</v>
      </c>
      <c r="N203" s="13" t="s">
        <v>39</v>
      </c>
    </row>
    <row r="204" spans="1:14" x14ac:dyDescent="0.25">
      <c r="A204" s="30">
        <v>11</v>
      </c>
      <c r="B204" s="26">
        <v>45771</v>
      </c>
      <c r="C204" s="2" t="s">
        <v>8</v>
      </c>
      <c r="D204" t="s">
        <v>12</v>
      </c>
      <c r="E204" s="1">
        <v>-78.66</v>
      </c>
      <c r="F204" s="1">
        <f t="shared" si="3"/>
        <v>54510.82</v>
      </c>
      <c r="G204" t="s">
        <v>8</v>
      </c>
      <c r="M204" s="23">
        <v>11</v>
      </c>
      <c r="N204" s="13" t="s">
        <v>40</v>
      </c>
    </row>
    <row r="205" spans="1:14" x14ac:dyDescent="0.25">
      <c r="A205" s="30">
        <v>1</v>
      </c>
      <c r="B205" s="26">
        <v>45772</v>
      </c>
      <c r="C205" s="2" t="s">
        <v>80</v>
      </c>
      <c r="D205" t="s">
        <v>405</v>
      </c>
      <c r="E205" s="1">
        <v>60</v>
      </c>
      <c r="F205" s="1">
        <f t="shared" si="3"/>
        <v>54570.82</v>
      </c>
      <c r="M205" s="23">
        <v>12</v>
      </c>
      <c r="N205" s="13" t="s">
        <v>23</v>
      </c>
    </row>
    <row r="206" spans="1:14" x14ac:dyDescent="0.25">
      <c r="A206" s="30">
        <v>15</v>
      </c>
      <c r="B206" s="26">
        <v>45772</v>
      </c>
      <c r="C206" s="2" t="s">
        <v>82</v>
      </c>
      <c r="D206" t="s">
        <v>116</v>
      </c>
      <c r="E206" s="1">
        <v>-612.5</v>
      </c>
      <c r="F206" s="1">
        <f t="shared" si="3"/>
        <v>53958.32</v>
      </c>
      <c r="G206">
        <v>23</v>
      </c>
      <c r="M206" s="23">
        <v>13</v>
      </c>
      <c r="N206" s="13" t="s">
        <v>149</v>
      </c>
    </row>
    <row r="207" spans="1:14" x14ac:dyDescent="0.25">
      <c r="A207" s="30">
        <v>19</v>
      </c>
      <c r="B207" s="26">
        <v>45778</v>
      </c>
      <c r="C207" s="2" t="s">
        <v>82</v>
      </c>
      <c r="D207" t="s">
        <v>416</v>
      </c>
      <c r="E207" s="1">
        <v>-9750</v>
      </c>
      <c r="F207" s="1">
        <f t="shared" si="3"/>
        <v>44208.32</v>
      </c>
      <c r="G207">
        <v>24</v>
      </c>
      <c r="M207" s="23">
        <v>14</v>
      </c>
      <c r="N207" s="13" t="s">
        <v>42</v>
      </c>
    </row>
    <row r="208" spans="1:14" x14ac:dyDescent="0.25">
      <c r="A208" s="30">
        <v>19</v>
      </c>
      <c r="B208" s="26">
        <v>45778</v>
      </c>
      <c r="C208" s="2" t="s">
        <v>82</v>
      </c>
      <c r="D208" t="s">
        <v>406</v>
      </c>
      <c r="E208" s="1">
        <v>-1105</v>
      </c>
      <c r="F208" s="1">
        <f t="shared" si="3"/>
        <v>43103.32</v>
      </c>
      <c r="G208">
        <v>25</v>
      </c>
      <c r="M208" s="23">
        <v>15</v>
      </c>
      <c r="N208" s="13" t="s">
        <v>43</v>
      </c>
    </row>
    <row r="209" spans="1:14" x14ac:dyDescent="0.25">
      <c r="A209" s="30">
        <v>23</v>
      </c>
      <c r="B209" s="26">
        <v>45778</v>
      </c>
      <c r="C209" s="2" t="s">
        <v>8</v>
      </c>
      <c r="D209" t="s">
        <v>254</v>
      </c>
      <c r="E209" s="1">
        <v>-29.34</v>
      </c>
      <c r="F209" s="1">
        <f t="shared" ref="F209:F235" si="4">F208+E209</f>
        <v>43073.98</v>
      </c>
      <c r="G209">
        <v>20</v>
      </c>
      <c r="M209" s="23">
        <v>16</v>
      </c>
      <c r="N209" s="13" t="s">
        <v>44</v>
      </c>
    </row>
    <row r="210" spans="1:14" x14ac:dyDescent="0.25">
      <c r="A210" s="30">
        <v>14</v>
      </c>
      <c r="B210" s="26">
        <v>45778</v>
      </c>
      <c r="C210" s="2" t="s">
        <v>8</v>
      </c>
      <c r="D210" t="s">
        <v>108</v>
      </c>
      <c r="E210" s="1">
        <v>-668.05</v>
      </c>
      <c r="F210" s="1">
        <f t="shared" si="4"/>
        <v>42405.93</v>
      </c>
      <c r="G210" t="s">
        <v>8</v>
      </c>
      <c r="M210" s="23">
        <v>17</v>
      </c>
      <c r="N210" s="13" t="s">
        <v>45</v>
      </c>
    </row>
    <row r="211" spans="1:14" x14ac:dyDescent="0.25">
      <c r="A211" s="30">
        <v>1</v>
      </c>
      <c r="B211" s="26">
        <v>45783</v>
      </c>
      <c r="C211" s="2" t="s">
        <v>83</v>
      </c>
      <c r="D211" t="s">
        <v>89</v>
      </c>
      <c r="E211" s="1">
        <v>90</v>
      </c>
      <c r="F211" s="1">
        <f t="shared" si="4"/>
        <v>42495.93</v>
      </c>
      <c r="M211" s="23">
        <v>18</v>
      </c>
      <c r="N211" s="13" t="s">
        <v>46</v>
      </c>
    </row>
    <row r="212" spans="1:14" x14ac:dyDescent="0.25">
      <c r="A212" s="30">
        <v>1</v>
      </c>
      <c r="B212" s="26">
        <v>45783</v>
      </c>
      <c r="C212" s="2" t="s">
        <v>83</v>
      </c>
      <c r="D212" t="s">
        <v>89</v>
      </c>
      <c r="E212" s="1">
        <v>165</v>
      </c>
      <c r="F212" s="1">
        <f t="shared" si="4"/>
        <v>42660.93</v>
      </c>
      <c r="M212" s="23">
        <v>19</v>
      </c>
      <c r="N212" s="13" t="s">
        <v>47</v>
      </c>
    </row>
    <row r="213" spans="1:14" x14ac:dyDescent="0.25">
      <c r="A213" s="30">
        <v>1</v>
      </c>
      <c r="B213" s="26">
        <v>45783</v>
      </c>
      <c r="C213" s="2" t="s">
        <v>83</v>
      </c>
      <c r="D213" t="s">
        <v>89</v>
      </c>
      <c r="E213" s="1">
        <v>50</v>
      </c>
      <c r="F213" s="1">
        <f t="shared" si="4"/>
        <v>42710.93</v>
      </c>
      <c r="M213" s="23">
        <v>20</v>
      </c>
      <c r="N213" s="13" t="s">
        <v>27</v>
      </c>
    </row>
    <row r="214" spans="1:14" x14ac:dyDescent="0.25">
      <c r="A214" s="30">
        <v>1</v>
      </c>
      <c r="B214" s="26">
        <v>45783</v>
      </c>
      <c r="C214" s="2" t="s">
        <v>80</v>
      </c>
      <c r="D214" t="s">
        <v>92</v>
      </c>
      <c r="E214" s="1">
        <v>15</v>
      </c>
      <c r="F214" s="1">
        <f t="shared" si="4"/>
        <v>42725.93</v>
      </c>
      <c r="M214" s="23">
        <v>21</v>
      </c>
      <c r="N214" s="13" t="s">
        <v>28</v>
      </c>
    </row>
    <row r="215" spans="1:14" x14ac:dyDescent="0.25">
      <c r="A215" s="30">
        <v>1</v>
      </c>
      <c r="B215" s="26">
        <v>45784</v>
      </c>
      <c r="C215" s="2" t="s">
        <v>80</v>
      </c>
      <c r="D215" t="s">
        <v>90</v>
      </c>
      <c r="E215" s="1">
        <v>60</v>
      </c>
      <c r="F215" s="1">
        <f t="shared" si="4"/>
        <v>42785.93</v>
      </c>
      <c r="M215" s="23">
        <v>22</v>
      </c>
      <c r="N215" s="13" t="s">
        <v>49</v>
      </c>
    </row>
    <row r="216" spans="1:14" x14ac:dyDescent="0.25">
      <c r="A216" s="30">
        <v>1</v>
      </c>
      <c r="B216" s="26">
        <v>45785</v>
      </c>
      <c r="C216" s="2" t="s">
        <v>83</v>
      </c>
      <c r="D216" t="s">
        <v>407</v>
      </c>
      <c r="E216" s="1">
        <v>140</v>
      </c>
      <c r="F216" s="1">
        <f t="shared" si="4"/>
        <v>42925.93</v>
      </c>
      <c r="H216" t="s">
        <v>400</v>
      </c>
      <c r="M216" s="23">
        <v>23</v>
      </c>
    </row>
    <row r="217" spans="1:14" x14ac:dyDescent="0.25">
      <c r="A217" s="30">
        <v>1</v>
      </c>
      <c r="B217" s="26">
        <v>45786</v>
      </c>
      <c r="C217" s="2" t="s">
        <v>83</v>
      </c>
      <c r="D217" t="s">
        <v>104</v>
      </c>
      <c r="E217" s="1">
        <v>200</v>
      </c>
      <c r="F217" s="1">
        <f t="shared" si="4"/>
        <v>43125.93</v>
      </c>
      <c r="M217" s="23">
        <v>24</v>
      </c>
    </row>
    <row r="218" spans="1:14" x14ac:dyDescent="0.25">
      <c r="A218" s="30">
        <v>16</v>
      </c>
      <c r="B218" s="26">
        <v>45789</v>
      </c>
      <c r="C218" s="2" t="s">
        <v>8</v>
      </c>
      <c r="D218" t="s">
        <v>11</v>
      </c>
      <c r="E218" s="1">
        <v>-47.22</v>
      </c>
      <c r="F218" s="1">
        <f t="shared" si="4"/>
        <v>43078.71</v>
      </c>
      <c r="G218" t="s">
        <v>8</v>
      </c>
      <c r="M218" s="23">
        <v>25</v>
      </c>
    </row>
    <row r="219" spans="1:14" x14ac:dyDescent="0.25">
      <c r="A219" s="30">
        <v>22</v>
      </c>
      <c r="B219" s="26">
        <v>45790</v>
      </c>
      <c r="C219" s="2" t="s">
        <v>82</v>
      </c>
      <c r="D219" t="s">
        <v>186</v>
      </c>
      <c r="E219" s="1">
        <v>-254.14</v>
      </c>
      <c r="F219" s="1">
        <f t="shared" si="4"/>
        <v>42824.57</v>
      </c>
      <c r="G219">
        <v>26</v>
      </c>
    </row>
    <row r="220" spans="1:14" x14ac:dyDescent="0.25">
      <c r="A220" s="30">
        <v>19</v>
      </c>
      <c r="B220" s="26">
        <v>45790</v>
      </c>
      <c r="C220" s="2" t="s">
        <v>82</v>
      </c>
      <c r="D220" t="s">
        <v>468</v>
      </c>
      <c r="E220" s="1">
        <v>-50.97</v>
      </c>
      <c r="F220" s="1">
        <f t="shared" si="4"/>
        <v>42773.599999999999</v>
      </c>
      <c r="G220">
        <v>27</v>
      </c>
    </row>
    <row r="221" spans="1:14" x14ac:dyDescent="0.25">
      <c r="A221" s="30">
        <v>1</v>
      </c>
      <c r="B221" s="26">
        <v>45793</v>
      </c>
      <c r="C221" s="2" t="s">
        <v>83</v>
      </c>
      <c r="D221" t="s">
        <v>153</v>
      </c>
      <c r="E221" s="1">
        <v>150</v>
      </c>
      <c r="F221" s="1">
        <f t="shared" si="4"/>
        <v>42923.6</v>
      </c>
    </row>
    <row r="222" spans="1:14" x14ac:dyDescent="0.25">
      <c r="A222" s="30">
        <v>1</v>
      </c>
      <c r="B222" s="26">
        <v>45793</v>
      </c>
      <c r="C222" s="2" t="s">
        <v>80</v>
      </c>
      <c r="D222" t="s">
        <v>92</v>
      </c>
      <c r="E222" s="1">
        <v>15</v>
      </c>
      <c r="F222" s="1">
        <f t="shared" si="4"/>
        <v>42938.6</v>
      </c>
    </row>
    <row r="223" spans="1:14" x14ac:dyDescent="0.25">
      <c r="A223" s="30">
        <v>11</v>
      </c>
      <c r="B223" s="26">
        <v>45799</v>
      </c>
      <c r="C223" s="2" t="s">
        <v>8</v>
      </c>
      <c r="D223" t="s">
        <v>12</v>
      </c>
      <c r="E223" s="1">
        <v>-57.55</v>
      </c>
      <c r="F223" s="1">
        <f t="shared" si="4"/>
        <v>42881.049999999996</v>
      </c>
      <c r="G223" t="s">
        <v>8</v>
      </c>
    </row>
    <row r="224" spans="1:14" x14ac:dyDescent="0.25">
      <c r="A224" s="30">
        <v>16</v>
      </c>
      <c r="B224" s="26">
        <v>45799</v>
      </c>
      <c r="C224" s="2" t="s">
        <v>8</v>
      </c>
      <c r="D224" t="s">
        <v>160</v>
      </c>
      <c r="E224" s="1">
        <v>-12.04</v>
      </c>
      <c r="F224" s="1">
        <f t="shared" si="4"/>
        <v>42869.009999999995</v>
      </c>
      <c r="G224" t="s">
        <v>8</v>
      </c>
    </row>
    <row r="225" spans="1:17" x14ac:dyDescent="0.25">
      <c r="A225" s="30">
        <v>1</v>
      </c>
      <c r="B225" s="26">
        <v>45799</v>
      </c>
      <c r="C225" s="2" t="s">
        <v>83</v>
      </c>
      <c r="D225" t="s">
        <v>87</v>
      </c>
      <c r="E225" s="1">
        <v>60</v>
      </c>
      <c r="F225" s="1">
        <f t="shared" si="4"/>
        <v>42929.009999999995</v>
      </c>
      <c r="H225" s="1"/>
    </row>
    <row r="226" spans="1:17" x14ac:dyDescent="0.25">
      <c r="A226" s="30">
        <v>21</v>
      </c>
      <c r="B226" s="26">
        <v>45799</v>
      </c>
      <c r="C226" s="2" t="s">
        <v>82</v>
      </c>
      <c r="D226" t="s">
        <v>421</v>
      </c>
      <c r="E226" s="1">
        <v>-27.5</v>
      </c>
      <c r="F226" s="1">
        <f t="shared" si="4"/>
        <v>42901.509999999995</v>
      </c>
      <c r="G226" t="s">
        <v>417</v>
      </c>
    </row>
    <row r="227" spans="1:17" x14ac:dyDescent="0.25">
      <c r="A227" s="30">
        <v>19</v>
      </c>
      <c r="B227" s="26">
        <v>45799</v>
      </c>
      <c r="C227" s="2" t="s">
        <v>82</v>
      </c>
      <c r="D227" t="s">
        <v>166</v>
      </c>
      <c r="E227" s="1">
        <v>-44.8</v>
      </c>
      <c r="F227" s="1">
        <f t="shared" si="4"/>
        <v>42856.709999999992</v>
      </c>
      <c r="G227">
        <v>29</v>
      </c>
    </row>
    <row r="228" spans="1:17" x14ac:dyDescent="0.25">
      <c r="A228" s="30">
        <v>16</v>
      </c>
      <c r="B228" s="26">
        <v>45799</v>
      </c>
      <c r="C228" s="2" t="s">
        <v>82</v>
      </c>
      <c r="D228" t="s">
        <v>469</v>
      </c>
      <c r="E228" s="1">
        <v>-19.2</v>
      </c>
      <c r="F228" s="1">
        <f t="shared" si="4"/>
        <v>42837.509999999995</v>
      </c>
      <c r="G228">
        <v>30</v>
      </c>
    </row>
    <row r="229" spans="1:17" x14ac:dyDescent="0.25">
      <c r="A229" s="30">
        <v>1</v>
      </c>
      <c r="B229" s="26">
        <v>45800</v>
      </c>
      <c r="C229" s="2" t="s">
        <v>83</v>
      </c>
      <c r="D229" t="s">
        <v>81</v>
      </c>
      <c r="E229" s="1">
        <v>60</v>
      </c>
      <c r="F229" s="1">
        <f t="shared" si="4"/>
        <v>42897.509999999995</v>
      </c>
    </row>
    <row r="230" spans="1:17" x14ac:dyDescent="0.25">
      <c r="A230" s="30">
        <v>1</v>
      </c>
      <c r="B230" s="26">
        <v>45804</v>
      </c>
      <c r="C230" s="2" t="s">
        <v>80</v>
      </c>
      <c r="D230" t="s">
        <v>92</v>
      </c>
      <c r="E230" s="1">
        <v>15</v>
      </c>
      <c r="F230" s="1">
        <f t="shared" si="4"/>
        <v>42912.509999999995</v>
      </c>
    </row>
    <row r="231" spans="1:17" x14ac:dyDescent="0.25">
      <c r="A231" s="30">
        <v>15</v>
      </c>
      <c r="B231" s="26">
        <v>45799</v>
      </c>
      <c r="C231" s="2" t="s">
        <v>82</v>
      </c>
      <c r="D231" t="s">
        <v>116</v>
      </c>
      <c r="E231" s="1">
        <v>-612.5</v>
      </c>
      <c r="F231" s="1">
        <f t="shared" si="4"/>
        <v>42300.009999999995</v>
      </c>
      <c r="G231">
        <v>31</v>
      </c>
    </row>
    <row r="232" spans="1:17" x14ac:dyDescent="0.25">
      <c r="A232" s="30">
        <v>1</v>
      </c>
      <c r="B232" s="26">
        <v>45805</v>
      </c>
      <c r="C232" s="2" t="s">
        <v>80</v>
      </c>
      <c r="D232" t="s">
        <v>253</v>
      </c>
      <c r="E232" s="1">
        <v>75</v>
      </c>
      <c r="F232" s="1">
        <f t="shared" si="4"/>
        <v>42375.009999999995</v>
      </c>
      <c r="H232" s="1" t="s">
        <v>400</v>
      </c>
    </row>
    <row r="233" spans="1:17" x14ac:dyDescent="0.25">
      <c r="A233" s="30">
        <v>19</v>
      </c>
      <c r="B233" s="26">
        <v>45806</v>
      </c>
      <c r="C233" s="2" t="s">
        <v>82</v>
      </c>
      <c r="D233" t="s">
        <v>411</v>
      </c>
      <c r="E233" s="1">
        <v>-4230</v>
      </c>
      <c r="F233" s="1">
        <f t="shared" si="4"/>
        <v>38145.009999999995</v>
      </c>
      <c r="G233">
        <v>32</v>
      </c>
    </row>
    <row r="234" spans="1:17" x14ac:dyDescent="0.25">
      <c r="A234" s="30">
        <v>1</v>
      </c>
      <c r="B234" s="26">
        <v>45807</v>
      </c>
      <c r="C234" s="2" t="s">
        <v>80</v>
      </c>
      <c r="D234" t="s">
        <v>92</v>
      </c>
      <c r="E234" s="1">
        <v>15</v>
      </c>
      <c r="F234" s="1">
        <f t="shared" si="4"/>
        <v>38160.009999999995</v>
      </c>
    </row>
    <row r="235" spans="1:17" x14ac:dyDescent="0.25">
      <c r="A235" s="30">
        <v>14</v>
      </c>
      <c r="B235" s="26">
        <v>45807</v>
      </c>
      <c r="C235" s="2" t="s">
        <v>8</v>
      </c>
      <c r="D235" t="s">
        <v>108</v>
      </c>
      <c r="E235" s="1">
        <v>-249.03</v>
      </c>
      <c r="F235" s="1">
        <f t="shared" si="4"/>
        <v>37910.979999999996</v>
      </c>
      <c r="G235" t="s">
        <v>8</v>
      </c>
      <c r="Q235" s="26"/>
    </row>
    <row r="236" spans="1:17" hidden="1" x14ac:dyDescent="0.25">
      <c r="B236" s="26"/>
      <c r="E236" s="1"/>
      <c r="F236" s="1"/>
      <c r="Q236" s="26"/>
    </row>
    <row r="237" spans="1:17" hidden="1" x14ac:dyDescent="0.25">
      <c r="B237" s="26"/>
      <c r="E237" s="1"/>
      <c r="F237" s="1"/>
      <c r="Q237" s="26"/>
    </row>
    <row r="238" spans="1:17" hidden="1" x14ac:dyDescent="0.25">
      <c r="B238" s="26"/>
      <c r="E238" s="1"/>
      <c r="F238" s="1"/>
      <c r="Q238" s="26"/>
    </row>
    <row r="239" spans="1:17" hidden="1" x14ac:dyDescent="0.25">
      <c r="B239" s="26"/>
      <c r="E239" s="1"/>
      <c r="F239" s="1"/>
      <c r="Q239" s="26"/>
    </row>
    <row r="240" spans="1:17" hidden="1" x14ac:dyDescent="0.25">
      <c r="B240" s="26"/>
      <c r="E240" s="1"/>
      <c r="F240" s="1"/>
      <c r="Q240" s="26"/>
    </row>
    <row r="241" spans="2:21" hidden="1" x14ac:dyDescent="0.25">
      <c r="B241" s="26"/>
      <c r="D241" s="45"/>
      <c r="E241" s="1"/>
      <c r="F241" s="1"/>
      <c r="Q241" s="26"/>
    </row>
    <row r="242" spans="2:21" hidden="1" x14ac:dyDescent="0.25">
      <c r="B242" s="26"/>
      <c r="E242" s="1"/>
      <c r="F242" s="1"/>
      <c r="Q242" s="26"/>
    </row>
    <row r="243" spans="2:21" hidden="1" x14ac:dyDescent="0.25">
      <c r="B243" s="26"/>
      <c r="E243" s="1"/>
      <c r="F243" s="1"/>
      <c r="Q243" s="26"/>
    </row>
    <row r="244" spans="2:21" hidden="1" x14ac:dyDescent="0.25">
      <c r="B244" s="26"/>
      <c r="E244" s="1"/>
      <c r="F244" s="1"/>
    </row>
    <row r="245" spans="2:21" hidden="1" x14ac:dyDescent="0.25">
      <c r="B245" s="26"/>
      <c r="E245" s="1"/>
      <c r="F245" s="1"/>
    </row>
    <row r="246" spans="2:21" hidden="1" x14ac:dyDescent="0.25">
      <c r="B246" s="26"/>
      <c r="E246" s="1"/>
      <c r="F246" s="1"/>
    </row>
    <row r="247" spans="2:21" hidden="1" x14ac:dyDescent="0.25">
      <c r="B247" s="26"/>
      <c r="E247" s="1"/>
      <c r="F247" s="1"/>
    </row>
    <row r="248" spans="2:21" hidden="1" x14ac:dyDescent="0.25">
      <c r="B248" s="26"/>
      <c r="E248" s="1"/>
      <c r="F248" s="1"/>
    </row>
    <row r="249" spans="2:21" hidden="1" x14ac:dyDescent="0.25">
      <c r="B249" s="26"/>
      <c r="E249" s="1"/>
      <c r="F249" s="1"/>
      <c r="N249" s="13"/>
    </row>
    <row r="250" spans="2:21" hidden="1" x14ac:dyDescent="0.25">
      <c r="B250" s="26"/>
      <c r="E250" s="1"/>
      <c r="F250" s="1"/>
      <c r="N250" s="13"/>
    </row>
    <row r="251" spans="2:21" hidden="1" x14ac:dyDescent="0.25">
      <c r="B251" s="26"/>
      <c r="E251" s="1"/>
      <c r="F251" s="1"/>
    </row>
    <row r="252" spans="2:21" hidden="1" x14ac:dyDescent="0.25">
      <c r="B252" s="26"/>
      <c r="E252" s="1"/>
      <c r="F252" s="1"/>
      <c r="M252" s="23"/>
    </row>
    <row r="253" spans="2:21" hidden="1" x14ac:dyDescent="0.25">
      <c r="B253" s="26"/>
      <c r="E253" s="1"/>
      <c r="F253" s="1"/>
      <c r="M253" s="23"/>
    </row>
    <row r="254" spans="2:21" hidden="1" x14ac:dyDescent="0.25">
      <c r="E254" s="1"/>
      <c r="F254" s="1"/>
      <c r="T254" s="23"/>
      <c r="U254" s="13"/>
    </row>
    <row r="255" spans="2:21" hidden="1" x14ac:dyDescent="0.25">
      <c r="E255" s="1"/>
      <c r="F255" s="1"/>
      <c r="T255" s="23">
        <v>25</v>
      </c>
      <c r="U255" s="13" t="s">
        <v>49</v>
      </c>
    </row>
    <row r="256" spans="2:21" hidden="1" x14ac:dyDescent="0.25">
      <c r="E256" s="1"/>
      <c r="F256" s="1"/>
    </row>
    <row r="257" spans="5:6" hidden="1" x14ac:dyDescent="0.25">
      <c r="E257" s="1"/>
      <c r="F257" s="1"/>
    </row>
    <row r="258" spans="5:6" hidden="1" x14ac:dyDescent="0.25">
      <c r="E258" s="1"/>
      <c r="F258" s="1"/>
    </row>
    <row r="259" spans="5:6" hidden="1" x14ac:dyDescent="0.25">
      <c r="E259" s="1"/>
      <c r="F259" s="1"/>
    </row>
    <row r="260" spans="5:6" hidden="1" x14ac:dyDescent="0.25">
      <c r="E260" s="1"/>
      <c r="F260" s="1"/>
    </row>
    <row r="261" spans="5:6" hidden="1" x14ac:dyDescent="0.25">
      <c r="E261" s="1"/>
      <c r="F261" s="1"/>
    </row>
    <row r="262" spans="5:6" hidden="1" x14ac:dyDescent="0.25">
      <c r="E262" s="1"/>
      <c r="F262" s="1"/>
    </row>
    <row r="263" spans="5:6" hidden="1" x14ac:dyDescent="0.25">
      <c r="E263" s="1"/>
      <c r="F263" s="1"/>
    </row>
    <row r="264" spans="5:6" hidden="1" x14ac:dyDescent="0.25">
      <c r="E264" s="1"/>
      <c r="F264" s="1"/>
    </row>
    <row r="265" spans="5:6" hidden="1" x14ac:dyDescent="0.25">
      <c r="E265" s="1"/>
      <c r="F265" s="1"/>
    </row>
    <row r="266" spans="5:6" hidden="1" x14ac:dyDescent="0.25">
      <c r="E266" s="1"/>
      <c r="F266" s="1"/>
    </row>
    <row r="267" spans="5:6" hidden="1" x14ac:dyDescent="0.25">
      <c r="E267" s="1"/>
      <c r="F267" s="1"/>
    </row>
    <row r="268" spans="5:6" hidden="1" x14ac:dyDescent="0.25">
      <c r="E268" s="1"/>
      <c r="F268" s="1"/>
    </row>
    <row r="269" spans="5:6" hidden="1" x14ac:dyDescent="0.25">
      <c r="E269" s="1"/>
      <c r="F269" s="1"/>
    </row>
    <row r="270" spans="5:6" hidden="1" x14ac:dyDescent="0.25">
      <c r="E270" s="1"/>
      <c r="F270" s="1"/>
    </row>
    <row r="271" spans="5:6" hidden="1" x14ac:dyDescent="0.25">
      <c r="E271" s="1"/>
      <c r="F271" s="1"/>
    </row>
    <row r="272" spans="5:6" hidden="1" x14ac:dyDescent="0.25">
      <c r="E272" s="1"/>
      <c r="F272" s="1"/>
    </row>
    <row r="273" spans="1:17" hidden="1" x14ac:dyDescent="0.25">
      <c r="E273" s="1"/>
      <c r="F273" s="1"/>
    </row>
    <row r="274" spans="1:17" hidden="1" x14ac:dyDescent="0.25">
      <c r="E274" s="1"/>
      <c r="F274" s="1"/>
    </row>
    <row r="275" spans="1:17" hidden="1" x14ac:dyDescent="0.25">
      <c r="E275" s="1"/>
      <c r="F275" s="1"/>
    </row>
    <row r="276" spans="1:17" hidden="1" x14ac:dyDescent="0.25">
      <c r="E276" s="1"/>
      <c r="F276" s="1"/>
    </row>
    <row r="277" spans="1:17" hidden="1" x14ac:dyDescent="0.25">
      <c r="E277" s="1"/>
      <c r="F277" s="1"/>
    </row>
    <row r="278" spans="1:17" hidden="1" x14ac:dyDescent="0.25">
      <c r="E278" s="1"/>
      <c r="F278" s="1"/>
    </row>
    <row r="279" spans="1:17" hidden="1" x14ac:dyDescent="0.25">
      <c r="E279" s="1"/>
      <c r="F279" s="1"/>
    </row>
    <row r="280" spans="1:17" hidden="1" x14ac:dyDescent="0.25">
      <c r="E280" s="1"/>
      <c r="F280" s="1"/>
    </row>
    <row r="281" spans="1:17" hidden="1" x14ac:dyDescent="0.25">
      <c r="E281" s="1"/>
      <c r="F281" s="1"/>
    </row>
    <row r="282" spans="1:17" hidden="1" x14ac:dyDescent="0.25">
      <c r="E282" s="1"/>
      <c r="F282" s="1"/>
    </row>
    <row r="283" spans="1:17" hidden="1" x14ac:dyDescent="0.25">
      <c r="E283" s="1"/>
      <c r="F283" s="1"/>
    </row>
    <row r="284" spans="1:17" x14ac:dyDescent="0.25">
      <c r="A284" s="30">
        <v>1</v>
      </c>
      <c r="B284" s="26">
        <v>45810</v>
      </c>
      <c r="C284" s="2" t="s">
        <v>83</v>
      </c>
      <c r="D284" t="s">
        <v>89</v>
      </c>
      <c r="E284" s="1">
        <v>115</v>
      </c>
      <c r="F284" s="1">
        <f>F235+E284</f>
        <v>38025.979999999996</v>
      </c>
    </row>
    <row r="285" spans="1:17" x14ac:dyDescent="0.25">
      <c r="A285" s="30">
        <v>1</v>
      </c>
      <c r="B285" s="26">
        <v>45810</v>
      </c>
      <c r="C285" s="2" t="s">
        <v>80</v>
      </c>
      <c r="D285" t="s">
        <v>90</v>
      </c>
      <c r="E285" s="1">
        <v>150</v>
      </c>
      <c r="F285" s="1">
        <f t="shared" ref="F285:F348" si="5">F284+E285</f>
        <v>38175.979999999996</v>
      </c>
      <c r="K285" s="29"/>
    </row>
    <row r="286" spans="1:17" x14ac:dyDescent="0.25">
      <c r="A286" s="30">
        <v>12</v>
      </c>
      <c r="B286" s="26">
        <v>45810</v>
      </c>
      <c r="C286" s="2" t="s">
        <v>82</v>
      </c>
      <c r="D286" t="s">
        <v>412</v>
      </c>
      <c r="E286" s="1">
        <v>-4704.99</v>
      </c>
      <c r="F286" s="1">
        <f t="shared" si="5"/>
        <v>33470.99</v>
      </c>
      <c r="G286">
        <v>33</v>
      </c>
      <c r="K286" s="29">
        <f>SUMIF(D1:D606,"B Baby Sensory",E1:E606)</f>
        <v>1180</v>
      </c>
      <c r="L286" t="s">
        <v>104</v>
      </c>
    </row>
    <row r="287" spans="1:17" x14ac:dyDescent="0.25">
      <c r="A287" s="30">
        <v>2</v>
      </c>
      <c r="B287" s="26">
        <v>45810</v>
      </c>
      <c r="C287" s="2" t="s">
        <v>82</v>
      </c>
      <c r="D287" t="s">
        <v>413</v>
      </c>
      <c r="E287" s="1">
        <v>-55</v>
      </c>
      <c r="F287" s="1">
        <f t="shared" si="5"/>
        <v>33415.99</v>
      </c>
      <c r="G287">
        <v>34</v>
      </c>
      <c r="K287" s="29">
        <f>SUMIF(D1:D606,"Williams LA (Blossoms Pilate)",E1:E606)</f>
        <v>1110</v>
      </c>
      <c r="L287" t="s">
        <v>90</v>
      </c>
    </row>
    <row r="288" spans="1:17" x14ac:dyDescent="0.25">
      <c r="A288" s="30">
        <v>23</v>
      </c>
      <c r="B288" s="26">
        <v>45810</v>
      </c>
      <c r="C288" s="2" t="s">
        <v>8</v>
      </c>
      <c r="D288" t="s">
        <v>254</v>
      </c>
      <c r="E288" s="1">
        <v>-29.34</v>
      </c>
      <c r="F288" s="1">
        <f t="shared" si="5"/>
        <v>33386.65</v>
      </c>
      <c r="G288" t="s">
        <v>8</v>
      </c>
      <c r="K288" s="29">
        <f>SUMIF(D1:D606,"Davin, Amy (Dance Class)",E1:E606)</f>
        <v>0</v>
      </c>
      <c r="L288" t="s">
        <v>545</v>
      </c>
      <c r="Q288" s="26"/>
    </row>
    <row r="289" spans="1:17" x14ac:dyDescent="0.25">
      <c r="A289" s="30">
        <v>7</v>
      </c>
      <c r="B289" s="26">
        <v>45811</v>
      </c>
      <c r="C289" s="2" t="s">
        <v>83</v>
      </c>
      <c r="D289" s="45" t="s">
        <v>402</v>
      </c>
      <c r="E289" s="1">
        <v>1134.24</v>
      </c>
      <c r="F289" s="1">
        <f t="shared" si="5"/>
        <v>34520.89</v>
      </c>
      <c r="J289" t="s">
        <v>51</v>
      </c>
      <c r="K289" s="29">
        <f>SUMIF(D1:D606,"Pointon, AC&amp;CJ (Circle Dance)",E1:E606)</f>
        <v>1170</v>
      </c>
      <c r="L289" t="s">
        <v>89</v>
      </c>
      <c r="Q289" s="26"/>
    </row>
    <row r="290" spans="1:17" x14ac:dyDescent="0.25">
      <c r="A290" s="30">
        <v>1</v>
      </c>
      <c r="B290" s="26">
        <v>45812</v>
      </c>
      <c r="C290" s="2" t="s">
        <v>83</v>
      </c>
      <c r="D290" t="s">
        <v>545</v>
      </c>
      <c r="E290" s="1">
        <v>35</v>
      </c>
      <c r="F290" s="1">
        <f t="shared" si="5"/>
        <v>34555.89</v>
      </c>
      <c r="K290" s="29">
        <f>SUMIF(D1:D606,"Croft WI Meeting",E1:E606)</f>
        <v>157.5</v>
      </c>
      <c r="L290" t="s">
        <v>123</v>
      </c>
    </row>
    <row r="291" spans="1:17" x14ac:dyDescent="0.25">
      <c r="A291" s="30">
        <v>1</v>
      </c>
      <c r="B291" s="26">
        <v>45813</v>
      </c>
      <c r="C291" s="2" t="s">
        <v>83</v>
      </c>
      <c r="D291" t="s">
        <v>104</v>
      </c>
      <c r="E291" s="1">
        <v>150</v>
      </c>
      <c r="F291" s="1">
        <f t="shared" si="5"/>
        <v>34705.89</v>
      </c>
      <c r="K291" s="29">
        <f ca="1">SUMIF(D1:D607,"Croft WI (Walking Netball)",E1:E606)</f>
        <v>435</v>
      </c>
      <c r="L291" t="s">
        <v>92</v>
      </c>
    </row>
    <row r="292" spans="1:17" x14ac:dyDescent="0.25">
      <c r="A292" s="30">
        <v>24</v>
      </c>
      <c r="B292" s="26">
        <v>45814</v>
      </c>
      <c r="C292" s="2" t="s">
        <v>82</v>
      </c>
      <c r="D292" t="s">
        <v>418</v>
      </c>
      <c r="E292" s="1">
        <v>-210</v>
      </c>
      <c r="F292" s="1">
        <f t="shared" si="5"/>
        <v>34495.89</v>
      </c>
      <c r="G292">
        <v>35</v>
      </c>
      <c r="K292" s="29">
        <f>SUMIF(D1:D606,"Legends Dance (Rachel Scott)",E1:E606)</f>
        <v>2495</v>
      </c>
      <c r="L292" t="s">
        <v>86</v>
      </c>
    </row>
    <row r="293" spans="1:17" x14ac:dyDescent="0.25">
      <c r="A293" s="30">
        <v>25</v>
      </c>
      <c r="B293" s="26">
        <v>45814</v>
      </c>
      <c r="C293" s="2" t="s">
        <v>82</v>
      </c>
      <c r="D293" t="s">
        <v>414</v>
      </c>
      <c r="E293" s="1">
        <v>-60</v>
      </c>
      <c r="F293" s="1">
        <f t="shared" si="5"/>
        <v>34435.89</v>
      </c>
      <c r="G293">
        <v>36</v>
      </c>
      <c r="K293" s="29">
        <f>SUMIF(D1:D606,"Croft Bowling",E1:E606)</f>
        <v>3115</v>
      </c>
      <c r="L293" t="s">
        <v>15</v>
      </c>
      <c r="O293" s="22"/>
    </row>
    <row r="294" spans="1:17" x14ac:dyDescent="0.25">
      <c r="A294" s="30">
        <v>21</v>
      </c>
      <c r="B294" s="26">
        <v>45814</v>
      </c>
      <c r="C294" s="2" t="s">
        <v>82</v>
      </c>
      <c r="D294" t="s">
        <v>415</v>
      </c>
      <c r="E294" s="1">
        <v>-17.07</v>
      </c>
      <c r="F294" s="1">
        <f t="shared" si="5"/>
        <v>34418.82</v>
      </c>
      <c r="G294">
        <v>37</v>
      </c>
      <c r="L294" t="s">
        <v>93</v>
      </c>
      <c r="O294" s="22"/>
    </row>
    <row r="295" spans="1:17" x14ac:dyDescent="0.25">
      <c r="A295" s="30">
        <v>21</v>
      </c>
      <c r="B295" s="26">
        <v>45814</v>
      </c>
      <c r="C295" s="2" t="s">
        <v>82</v>
      </c>
      <c r="D295" t="s">
        <v>421</v>
      </c>
      <c r="E295" s="1">
        <v>-56.03</v>
      </c>
      <c r="F295" s="1">
        <f t="shared" si="5"/>
        <v>34362.79</v>
      </c>
      <c r="G295">
        <v>38</v>
      </c>
      <c r="L295" t="s">
        <v>198</v>
      </c>
      <c r="O295" s="22"/>
    </row>
    <row r="296" spans="1:17" x14ac:dyDescent="0.25">
      <c r="A296" s="30">
        <v>19</v>
      </c>
      <c r="B296" s="26">
        <v>45814</v>
      </c>
      <c r="C296" s="2" t="s">
        <v>82</v>
      </c>
      <c r="D296" t="s">
        <v>416</v>
      </c>
      <c r="E296" s="1">
        <v>-580</v>
      </c>
      <c r="F296" s="1">
        <f t="shared" si="5"/>
        <v>33782.79</v>
      </c>
      <c r="G296">
        <v>39</v>
      </c>
      <c r="L296" t="s">
        <v>153</v>
      </c>
      <c r="O296" s="22"/>
    </row>
    <row r="297" spans="1:17" x14ac:dyDescent="0.25">
      <c r="A297" s="30">
        <v>18</v>
      </c>
      <c r="B297" s="26">
        <v>45814</v>
      </c>
      <c r="C297" s="2" t="s">
        <v>82</v>
      </c>
      <c r="D297" t="s">
        <v>522</v>
      </c>
      <c r="E297" s="1">
        <v>-70</v>
      </c>
      <c r="F297" s="1">
        <f t="shared" si="5"/>
        <v>33712.79</v>
      </c>
      <c r="G297">
        <v>40</v>
      </c>
      <c r="L297" t="s">
        <v>87</v>
      </c>
      <c r="O297" s="22"/>
    </row>
    <row r="298" spans="1:17" x14ac:dyDescent="0.25">
      <c r="A298" s="30">
        <v>1</v>
      </c>
      <c r="B298" s="26">
        <v>45818</v>
      </c>
      <c r="C298" s="2" t="s">
        <v>83</v>
      </c>
      <c r="D298" t="s">
        <v>545</v>
      </c>
      <c r="E298" s="1">
        <v>175</v>
      </c>
      <c r="F298" s="1">
        <f t="shared" si="5"/>
        <v>33887.79</v>
      </c>
    </row>
    <row r="299" spans="1:17" x14ac:dyDescent="0.25">
      <c r="A299" s="30">
        <v>1</v>
      </c>
      <c r="B299" s="26">
        <v>45818</v>
      </c>
      <c r="C299" s="2" t="s">
        <v>80</v>
      </c>
      <c r="D299" t="s">
        <v>92</v>
      </c>
      <c r="E299" s="1">
        <v>15</v>
      </c>
      <c r="F299" s="1">
        <f t="shared" si="5"/>
        <v>33902.79</v>
      </c>
    </row>
    <row r="300" spans="1:17" x14ac:dyDescent="0.25">
      <c r="A300" s="30">
        <v>16</v>
      </c>
      <c r="B300" s="26">
        <v>45818</v>
      </c>
      <c r="C300" s="2" t="s">
        <v>8</v>
      </c>
      <c r="D300" t="s">
        <v>11</v>
      </c>
      <c r="E300" s="1">
        <v>-47.22</v>
      </c>
      <c r="F300" s="1">
        <f t="shared" si="5"/>
        <v>33855.57</v>
      </c>
      <c r="G300" t="s">
        <v>8</v>
      </c>
    </row>
    <row r="301" spans="1:17" x14ac:dyDescent="0.25">
      <c r="A301" s="30">
        <v>1</v>
      </c>
      <c r="B301" s="26">
        <v>45818</v>
      </c>
      <c r="C301" s="2" t="s">
        <v>83</v>
      </c>
      <c r="D301" t="s">
        <v>86</v>
      </c>
      <c r="E301" s="1">
        <v>295</v>
      </c>
      <c r="F301" s="1">
        <f t="shared" si="5"/>
        <v>34150.57</v>
      </c>
    </row>
    <row r="302" spans="1:17" x14ac:dyDescent="0.25">
      <c r="A302" s="30">
        <v>1</v>
      </c>
      <c r="B302" s="26">
        <v>45821</v>
      </c>
      <c r="C302" s="2" t="s">
        <v>80</v>
      </c>
      <c r="D302" t="s">
        <v>92</v>
      </c>
      <c r="E302" s="1">
        <v>15</v>
      </c>
      <c r="F302" s="1">
        <f t="shared" si="5"/>
        <v>34165.57</v>
      </c>
    </row>
    <row r="303" spans="1:17" x14ac:dyDescent="0.25">
      <c r="A303" s="30">
        <v>1</v>
      </c>
      <c r="B303" s="26">
        <v>45827</v>
      </c>
      <c r="C303" s="2" t="s">
        <v>80</v>
      </c>
      <c r="D303" t="s">
        <v>92</v>
      </c>
      <c r="E303" s="1">
        <v>15</v>
      </c>
      <c r="F303" s="1">
        <f t="shared" si="5"/>
        <v>34180.57</v>
      </c>
    </row>
    <row r="304" spans="1:17" x14ac:dyDescent="0.25">
      <c r="A304" s="30">
        <v>1</v>
      </c>
      <c r="B304" s="26">
        <v>45831</v>
      </c>
      <c r="C304" s="2" t="s">
        <v>83</v>
      </c>
      <c r="D304" t="s">
        <v>93</v>
      </c>
      <c r="E304" s="1">
        <v>15</v>
      </c>
      <c r="F304" s="1">
        <f t="shared" si="5"/>
        <v>34195.57</v>
      </c>
    </row>
    <row r="305" spans="1:15" x14ac:dyDescent="0.25">
      <c r="A305" s="30">
        <v>1</v>
      </c>
      <c r="B305" s="26">
        <v>45831</v>
      </c>
      <c r="C305" s="2" t="s">
        <v>80</v>
      </c>
      <c r="D305" t="s">
        <v>419</v>
      </c>
      <c r="E305" s="1">
        <v>65</v>
      </c>
      <c r="F305" s="1">
        <f t="shared" si="5"/>
        <v>34260.57</v>
      </c>
    </row>
    <row r="306" spans="1:15" x14ac:dyDescent="0.25">
      <c r="A306" s="30">
        <v>1</v>
      </c>
      <c r="B306" s="26">
        <v>45831</v>
      </c>
      <c r="C306" s="2" t="s">
        <v>80</v>
      </c>
      <c r="D306" t="s">
        <v>123</v>
      </c>
      <c r="E306" s="1">
        <v>60</v>
      </c>
      <c r="F306" s="1">
        <f t="shared" si="5"/>
        <v>34320.57</v>
      </c>
    </row>
    <row r="307" spans="1:15" x14ac:dyDescent="0.25">
      <c r="A307" s="30">
        <v>19</v>
      </c>
      <c r="B307" s="26">
        <v>45831</v>
      </c>
      <c r="C307" s="2" t="s">
        <v>82</v>
      </c>
      <c r="D307" t="s">
        <v>420</v>
      </c>
      <c r="E307" s="1">
        <v>-12</v>
      </c>
      <c r="F307" s="1">
        <f t="shared" si="5"/>
        <v>34308.57</v>
      </c>
      <c r="G307">
        <v>41</v>
      </c>
    </row>
    <row r="308" spans="1:15" x14ac:dyDescent="0.25">
      <c r="A308" s="30">
        <v>19</v>
      </c>
      <c r="B308" s="26">
        <v>45831</v>
      </c>
      <c r="C308" s="2" t="s">
        <v>82</v>
      </c>
      <c r="D308" t="s">
        <v>166</v>
      </c>
      <c r="E308" s="1">
        <v>-59.23</v>
      </c>
      <c r="F308" s="1">
        <f t="shared" si="5"/>
        <v>34249.339999999997</v>
      </c>
      <c r="G308">
        <v>42</v>
      </c>
    </row>
    <row r="309" spans="1:15" x14ac:dyDescent="0.25">
      <c r="A309" s="30">
        <v>16</v>
      </c>
      <c r="B309" s="26">
        <v>45831</v>
      </c>
      <c r="C309" s="2" t="s">
        <v>82</v>
      </c>
      <c r="D309" t="s">
        <v>422</v>
      </c>
      <c r="E309" s="1">
        <v>-19.2</v>
      </c>
      <c r="F309" s="1">
        <f t="shared" si="5"/>
        <v>34230.14</v>
      </c>
      <c r="G309">
        <v>43</v>
      </c>
      <c r="O309" t="s">
        <v>51</v>
      </c>
    </row>
    <row r="310" spans="1:15" x14ac:dyDescent="0.25">
      <c r="A310" s="30">
        <v>13</v>
      </c>
      <c r="B310" s="26">
        <v>45831</v>
      </c>
      <c r="C310" s="2" t="s">
        <v>8</v>
      </c>
      <c r="D310" t="s">
        <v>429</v>
      </c>
      <c r="E310" s="1">
        <v>-460.97</v>
      </c>
      <c r="F310" s="1">
        <f t="shared" si="5"/>
        <v>33769.17</v>
      </c>
      <c r="G310" t="s">
        <v>8</v>
      </c>
    </row>
    <row r="311" spans="1:15" x14ac:dyDescent="0.25">
      <c r="A311" s="30">
        <v>16</v>
      </c>
      <c r="B311" s="26">
        <v>45831</v>
      </c>
      <c r="C311" s="2" t="s">
        <v>8</v>
      </c>
      <c r="D311" t="s">
        <v>160</v>
      </c>
      <c r="E311" s="1">
        <v>-12.04</v>
      </c>
      <c r="F311" s="1">
        <f t="shared" si="5"/>
        <v>33757.129999999997</v>
      </c>
      <c r="G311" t="s">
        <v>8</v>
      </c>
    </row>
    <row r="312" spans="1:15" x14ac:dyDescent="0.25">
      <c r="A312" s="30">
        <v>11</v>
      </c>
      <c r="B312" s="26">
        <v>45831</v>
      </c>
      <c r="C312" s="2" t="s">
        <v>8</v>
      </c>
      <c r="D312" t="s">
        <v>12</v>
      </c>
      <c r="E312" s="1">
        <v>-58.45</v>
      </c>
      <c r="F312" s="1">
        <f t="shared" si="5"/>
        <v>33698.68</v>
      </c>
      <c r="G312" t="s">
        <v>8</v>
      </c>
    </row>
    <row r="313" spans="1:15" x14ac:dyDescent="0.25">
      <c r="A313" s="30">
        <v>19</v>
      </c>
      <c r="B313" s="26">
        <v>45834</v>
      </c>
      <c r="C313" s="2" t="s">
        <v>82</v>
      </c>
      <c r="D313" t="s">
        <v>393</v>
      </c>
      <c r="E313" s="1">
        <v>-300</v>
      </c>
      <c r="F313" s="1">
        <f t="shared" si="5"/>
        <v>33398.68</v>
      </c>
      <c r="G313">
        <v>44</v>
      </c>
    </row>
    <row r="314" spans="1:15" x14ac:dyDescent="0.25">
      <c r="A314" s="30">
        <v>15</v>
      </c>
      <c r="B314" s="26">
        <v>45834</v>
      </c>
      <c r="C314" s="2" t="s">
        <v>82</v>
      </c>
      <c r="D314" t="s">
        <v>116</v>
      </c>
      <c r="E314" s="1">
        <v>-612.5</v>
      </c>
      <c r="F314" s="1">
        <f t="shared" si="5"/>
        <v>32786.18</v>
      </c>
      <c r="G314">
        <v>45</v>
      </c>
    </row>
    <row r="315" spans="1:15" x14ac:dyDescent="0.25">
      <c r="A315" s="30">
        <v>19</v>
      </c>
      <c r="B315" s="26">
        <v>45834</v>
      </c>
      <c r="C315" s="2" t="s">
        <v>82</v>
      </c>
      <c r="D315" t="s">
        <v>166</v>
      </c>
      <c r="E315" s="1">
        <v>-28.28</v>
      </c>
      <c r="F315" s="1">
        <f t="shared" si="5"/>
        <v>32757.9</v>
      </c>
      <c r="G315">
        <v>46</v>
      </c>
    </row>
    <row r="316" spans="1:15" x14ac:dyDescent="0.25">
      <c r="A316" s="30">
        <v>1</v>
      </c>
      <c r="B316" s="26">
        <v>45835</v>
      </c>
      <c r="C316" s="2" t="s">
        <v>83</v>
      </c>
      <c r="D316" t="s">
        <v>87</v>
      </c>
      <c r="E316" s="1">
        <v>45</v>
      </c>
      <c r="F316" s="1">
        <f t="shared" si="5"/>
        <v>32802.9</v>
      </c>
    </row>
    <row r="317" spans="1:15" x14ac:dyDescent="0.25">
      <c r="A317" s="30">
        <v>10</v>
      </c>
      <c r="B317" s="26">
        <v>45835</v>
      </c>
      <c r="C317" s="2" t="s">
        <v>9</v>
      </c>
      <c r="D317" t="s">
        <v>10</v>
      </c>
      <c r="E317" s="1">
        <v>-12.5</v>
      </c>
      <c r="F317" s="1">
        <f t="shared" si="5"/>
        <v>32790.400000000001</v>
      </c>
      <c r="G317" t="s">
        <v>9</v>
      </c>
    </row>
    <row r="318" spans="1:15" x14ac:dyDescent="0.25">
      <c r="A318" s="30">
        <v>1</v>
      </c>
      <c r="B318" s="26">
        <v>45838</v>
      </c>
      <c r="C318" s="2" t="s">
        <v>83</v>
      </c>
      <c r="D318" t="s">
        <v>153</v>
      </c>
      <c r="E318" s="1">
        <v>165</v>
      </c>
      <c r="F318" s="1">
        <f t="shared" si="5"/>
        <v>32955.4</v>
      </c>
    </row>
    <row r="319" spans="1:15" x14ac:dyDescent="0.25">
      <c r="A319" s="30">
        <v>1</v>
      </c>
      <c r="B319" s="26">
        <v>45838</v>
      </c>
      <c r="C319" s="2" t="s">
        <v>83</v>
      </c>
      <c r="D319" t="s">
        <v>153</v>
      </c>
      <c r="E319" s="1">
        <v>165</v>
      </c>
      <c r="F319" s="1">
        <f t="shared" si="5"/>
        <v>33120.400000000001</v>
      </c>
    </row>
    <row r="320" spans="1:15" x14ac:dyDescent="0.25">
      <c r="A320" s="30">
        <v>1</v>
      </c>
      <c r="B320" s="26">
        <v>45838</v>
      </c>
      <c r="C320" s="2" t="s">
        <v>80</v>
      </c>
      <c r="D320" t="s">
        <v>92</v>
      </c>
      <c r="E320" s="1">
        <v>15</v>
      </c>
      <c r="F320" s="1">
        <f t="shared" si="5"/>
        <v>33135.4</v>
      </c>
    </row>
    <row r="321" spans="1:17" x14ac:dyDescent="0.25">
      <c r="A321" s="30">
        <v>23</v>
      </c>
      <c r="B321" s="26">
        <v>45839</v>
      </c>
      <c r="C321" s="2" t="s">
        <v>8</v>
      </c>
      <c r="D321" t="s">
        <v>254</v>
      </c>
      <c r="E321" s="1">
        <v>-29.34</v>
      </c>
      <c r="F321" s="1">
        <f t="shared" si="5"/>
        <v>33106.060000000005</v>
      </c>
      <c r="G321" t="s">
        <v>8</v>
      </c>
    </row>
    <row r="322" spans="1:17" x14ac:dyDescent="0.25">
      <c r="A322" s="30">
        <v>14</v>
      </c>
      <c r="B322" s="26">
        <v>45839</v>
      </c>
      <c r="C322" s="2" t="s">
        <v>8</v>
      </c>
      <c r="D322" t="s">
        <v>430</v>
      </c>
      <c r="E322" s="1">
        <v>-155.51</v>
      </c>
      <c r="F322" s="1">
        <f t="shared" si="5"/>
        <v>32950.550000000003</v>
      </c>
      <c r="G322" t="s">
        <v>8</v>
      </c>
    </row>
    <row r="323" spans="1:17" x14ac:dyDescent="0.25">
      <c r="A323" s="30">
        <v>1</v>
      </c>
      <c r="B323" s="26">
        <v>45842</v>
      </c>
      <c r="C323" s="2" t="s">
        <v>80</v>
      </c>
      <c r="D323" t="s">
        <v>92</v>
      </c>
      <c r="E323" s="1">
        <v>15</v>
      </c>
      <c r="F323" s="1">
        <f t="shared" si="5"/>
        <v>32965.550000000003</v>
      </c>
    </row>
    <row r="324" spans="1:17" x14ac:dyDescent="0.25">
      <c r="A324" s="30">
        <v>1</v>
      </c>
      <c r="B324" s="26">
        <v>45845</v>
      </c>
      <c r="C324" s="2" t="s">
        <v>83</v>
      </c>
      <c r="D324" t="s">
        <v>89</v>
      </c>
      <c r="E324" s="1">
        <v>190</v>
      </c>
      <c r="F324" s="1">
        <f t="shared" si="5"/>
        <v>33155.550000000003</v>
      </c>
    </row>
    <row r="325" spans="1:17" x14ac:dyDescent="0.25">
      <c r="A325" s="30">
        <v>1</v>
      </c>
      <c r="B325" s="26">
        <v>45848</v>
      </c>
      <c r="C325" s="2" t="s">
        <v>83</v>
      </c>
      <c r="D325" t="s">
        <v>104</v>
      </c>
      <c r="E325" s="1">
        <v>200</v>
      </c>
      <c r="F325" s="1">
        <f t="shared" si="5"/>
        <v>33355.550000000003</v>
      </c>
    </row>
    <row r="326" spans="1:17" x14ac:dyDescent="0.25">
      <c r="A326" s="30">
        <v>16</v>
      </c>
      <c r="B326" s="26">
        <v>45848</v>
      </c>
      <c r="C326" s="2" t="s">
        <v>8</v>
      </c>
      <c r="D326" t="s">
        <v>11</v>
      </c>
      <c r="E326" s="1">
        <v>-47.22</v>
      </c>
      <c r="F326" s="1">
        <f t="shared" si="5"/>
        <v>33308.33</v>
      </c>
      <c r="G326" t="s">
        <v>8</v>
      </c>
    </row>
    <row r="327" spans="1:17" x14ac:dyDescent="0.25">
      <c r="A327" s="30">
        <v>1</v>
      </c>
      <c r="B327" s="26">
        <v>45852</v>
      </c>
      <c r="C327" s="2" t="s">
        <v>80</v>
      </c>
      <c r="D327" t="s">
        <v>92</v>
      </c>
      <c r="E327" s="1">
        <v>15</v>
      </c>
      <c r="F327" s="1">
        <f t="shared" si="5"/>
        <v>33323.33</v>
      </c>
    </row>
    <row r="328" spans="1:17" x14ac:dyDescent="0.25">
      <c r="A328" s="30">
        <v>1</v>
      </c>
      <c r="B328" s="26">
        <v>45852</v>
      </c>
      <c r="C328" s="2" t="s">
        <v>80</v>
      </c>
      <c r="D328" t="s">
        <v>14</v>
      </c>
      <c r="E328" s="1">
        <v>45</v>
      </c>
      <c r="F328" s="1">
        <f t="shared" si="5"/>
        <v>33368.33</v>
      </c>
    </row>
    <row r="329" spans="1:17" x14ac:dyDescent="0.25">
      <c r="A329" s="30">
        <v>22</v>
      </c>
      <c r="B329" s="26">
        <v>45853</v>
      </c>
      <c r="C329" s="2" t="s">
        <v>82</v>
      </c>
      <c r="D329" t="s">
        <v>227</v>
      </c>
      <c r="E329" s="1">
        <v>-282.45999999999998</v>
      </c>
      <c r="F329" s="1">
        <f t="shared" si="5"/>
        <v>33085.870000000003</v>
      </c>
      <c r="G329">
        <v>47</v>
      </c>
    </row>
    <row r="330" spans="1:17" x14ac:dyDescent="0.25">
      <c r="A330" s="30">
        <v>19</v>
      </c>
      <c r="B330" s="26">
        <v>45853</v>
      </c>
      <c r="C330" s="2" t="s">
        <v>82</v>
      </c>
      <c r="D330" t="s">
        <v>166</v>
      </c>
      <c r="E330" s="1">
        <v>-117.38</v>
      </c>
      <c r="F330" s="1">
        <f t="shared" si="5"/>
        <v>32968.490000000005</v>
      </c>
      <c r="G330">
        <v>48</v>
      </c>
    </row>
    <row r="331" spans="1:17" x14ac:dyDescent="0.25">
      <c r="A331" s="30">
        <v>17</v>
      </c>
      <c r="B331" s="26">
        <v>45853</v>
      </c>
      <c r="C331" s="2" t="s">
        <v>82</v>
      </c>
      <c r="D331" t="s">
        <v>166</v>
      </c>
      <c r="E331" s="1">
        <v>-32</v>
      </c>
      <c r="F331" s="1">
        <f t="shared" si="5"/>
        <v>32936.490000000005</v>
      </c>
      <c r="G331">
        <v>49</v>
      </c>
    </row>
    <row r="332" spans="1:17" x14ac:dyDescent="0.25">
      <c r="A332" s="30">
        <v>22</v>
      </c>
      <c r="B332" s="26">
        <v>45853</v>
      </c>
      <c r="C332" s="2" t="s">
        <v>82</v>
      </c>
      <c r="D332" t="s">
        <v>425</v>
      </c>
      <c r="E332" s="1">
        <v>-50</v>
      </c>
      <c r="F332" s="1">
        <f t="shared" si="5"/>
        <v>32886.490000000005</v>
      </c>
      <c r="G332" t="s">
        <v>517</v>
      </c>
    </row>
    <row r="333" spans="1:17" x14ac:dyDescent="0.25">
      <c r="A333" s="30">
        <v>1</v>
      </c>
      <c r="B333" s="26">
        <v>45854</v>
      </c>
      <c r="C333" s="2" t="s">
        <v>83</v>
      </c>
      <c r="D333" t="s">
        <v>545</v>
      </c>
      <c r="E333" s="1">
        <v>175</v>
      </c>
      <c r="F333" s="1">
        <f t="shared" si="5"/>
        <v>33061.490000000005</v>
      </c>
    </row>
    <row r="334" spans="1:17" x14ac:dyDescent="0.25">
      <c r="A334" s="30">
        <v>16</v>
      </c>
      <c r="B334" s="26">
        <v>45855</v>
      </c>
      <c r="C334" s="2" t="s">
        <v>82</v>
      </c>
      <c r="D334" t="s">
        <v>427</v>
      </c>
      <c r="E334" s="1">
        <v>-19.2</v>
      </c>
      <c r="F334" s="1">
        <f t="shared" si="5"/>
        <v>33042.290000000008</v>
      </c>
      <c r="G334">
        <v>51</v>
      </c>
      <c r="Q334" t="s">
        <v>51</v>
      </c>
    </row>
    <row r="335" spans="1:17" x14ac:dyDescent="0.25">
      <c r="A335" s="30">
        <v>19</v>
      </c>
      <c r="B335" s="26">
        <v>45855</v>
      </c>
      <c r="C335" s="2" t="s">
        <v>82</v>
      </c>
      <c r="D335" t="s">
        <v>426</v>
      </c>
      <c r="E335" s="1">
        <v>-120</v>
      </c>
      <c r="F335" s="1">
        <f t="shared" si="5"/>
        <v>32922.290000000008</v>
      </c>
      <c r="G335">
        <v>52</v>
      </c>
    </row>
    <row r="336" spans="1:17" x14ac:dyDescent="0.25">
      <c r="A336" s="30">
        <v>1</v>
      </c>
      <c r="B336" s="26">
        <v>45856</v>
      </c>
      <c r="C336" s="2" t="s">
        <v>83</v>
      </c>
      <c r="D336" t="s">
        <v>87</v>
      </c>
      <c r="E336" s="1">
        <v>45</v>
      </c>
      <c r="F336" s="1">
        <f t="shared" si="5"/>
        <v>32967.290000000008</v>
      </c>
    </row>
    <row r="337" spans="1:18" x14ac:dyDescent="0.25">
      <c r="A337" s="30">
        <v>1</v>
      </c>
      <c r="B337" s="26">
        <v>45859</v>
      </c>
      <c r="C337" s="2" t="s">
        <v>80</v>
      </c>
      <c r="D337" t="s">
        <v>92</v>
      </c>
      <c r="E337" s="1">
        <v>15</v>
      </c>
      <c r="F337" s="1">
        <f t="shared" si="5"/>
        <v>32982.290000000008</v>
      </c>
      <c r="Q337">
        <v>7766560965</v>
      </c>
      <c r="R337" t="s">
        <v>239</v>
      </c>
    </row>
    <row r="338" spans="1:18" x14ac:dyDescent="0.25">
      <c r="A338" s="30">
        <v>1</v>
      </c>
      <c r="B338" s="26">
        <v>45859</v>
      </c>
      <c r="C338" s="2" t="s">
        <v>80</v>
      </c>
      <c r="D338" t="s">
        <v>90</v>
      </c>
      <c r="E338" s="1">
        <v>120</v>
      </c>
      <c r="F338" s="1">
        <f t="shared" si="5"/>
        <v>33102.290000000008</v>
      </c>
    </row>
    <row r="339" spans="1:18" x14ac:dyDescent="0.25">
      <c r="A339" s="30">
        <v>16</v>
      </c>
      <c r="B339" s="26">
        <v>45860</v>
      </c>
      <c r="C339" s="2" t="s">
        <v>8</v>
      </c>
      <c r="D339" t="s">
        <v>160</v>
      </c>
      <c r="E339" s="1">
        <v>-12.04</v>
      </c>
      <c r="F339" s="1">
        <f t="shared" si="5"/>
        <v>33090.250000000007</v>
      </c>
      <c r="G339" t="s">
        <v>8</v>
      </c>
    </row>
    <row r="340" spans="1:18" x14ac:dyDescent="0.25">
      <c r="A340" s="30">
        <v>11</v>
      </c>
      <c r="B340" s="26">
        <v>45860</v>
      </c>
      <c r="C340" s="2" t="s">
        <v>8</v>
      </c>
      <c r="D340" t="s">
        <v>12</v>
      </c>
      <c r="E340" s="1">
        <v>-57.55</v>
      </c>
      <c r="F340" s="1">
        <f t="shared" si="5"/>
        <v>33032.700000000004</v>
      </c>
      <c r="G340" t="s">
        <v>8</v>
      </c>
    </row>
    <row r="341" spans="1:18" x14ac:dyDescent="0.25">
      <c r="A341" s="30">
        <v>1</v>
      </c>
      <c r="B341" s="26">
        <v>45861</v>
      </c>
      <c r="C341" s="2" t="s">
        <v>83</v>
      </c>
      <c r="D341" t="s">
        <v>442</v>
      </c>
      <c r="E341" s="1">
        <v>50</v>
      </c>
      <c r="F341" s="1">
        <f t="shared" si="5"/>
        <v>33082.700000000004</v>
      </c>
    </row>
    <row r="342" spans="1:18" x14ac:dyDescent="0.25">
      <c r="A342" s="30">
        <v>1</v>
      </c>
      <c r="B342" s="26">
        <v>45861</v>
      </c>
      <c r="C342" s="2" t="s">
        <v>83</v>
      </c>
      <c r="D342" t="s">
        <v>123</v>
      </c>
      <c r="E342" s="1">
        <v>60</v>
      </c>
      <c r="F342" s="1">
        <f t="shared" si="5"/>
        <v>33142.700000000004</v>
      </c>
    </row>
    <row r="343" spans="1:18" x14ac:dyDescent="0.25">
      <c r="A343" s="30">
        <v>17</v>
      </c>
      <c r="B343" s="26">
        <v>45863</v>
      </c>
      <c r="C343" s="2" t="s">
        <v>82</v>
      </c>
      <c r="D343" t="s">
        <v>428</v>
      </c>
      <c r="E343" s="1">
        <v>-4.45</v>
      </c>
      <c r="F343" s="1">
        <f t="shared" si="5"/>
        <v>33138.250000000007</v>
      </c>
      <c r="G343">
        <v>53</v>
      </c>
    </row>
    <row r="344" spans="1:18" x14ac:dyDescent="0.25">
      <c r="A344" s="30">
        <v>15</v>
      </c>
      <c r="B344" s="26">
        <v>45863</v>
      </c>
      <c r="C344" s="2" t="s">
        <v>82</v>
      </c>
      <c r="D344" t="s">
        <v>116</v>
      </c>
      <c r="E344" s="1">
        <v>-612.5</v>
      </c>
      <c r="F344" s="1">
        <f t="shared" si="5"/>
        <v>32525.750000000007</v>
      </c>
      <c r="G344">
        <v>54</v>
      </c>
      <c r="K344" t="s">
        <v>51</v>
      </c>
    </row>
    <row r="345" spans="1:18" x14ac:dyDescent="0.25">
      <c r="A345" s="30">
        <v>14</v>
      </c>
      <c r="B345" s="26">
        <v>45869</v>
      </c>
      <c r="C345" s="2" t="s">
        <v>8</v>
      </c>
      <c r="D345" t="s">
        <v>431</v>
      </c>
      <c r="E345" s="1">
        <v>-102.2</v>
      </c>
      <c r="F345" s="1">
        <f t="shared" si="5"/>
        <v>32423.550000000007</v>
      </c>
      <c r="G345" t="s">
        <v>8</v>
      </c>
    </row>
    <row r="346" spans="1:18" x14ac:dyDescent="0.25">
      <c r="A346" s="30">
        <v>23</v>
      </c>
      <c r="B346" s="26">
        <v>45870</v>
      </c>
      <c r="C346" s="2" t="s">
        <v>8</v>
      </c>
      <c r="D346" t="s">
        <v>254</v>
      </c>
      <c r="E346" s="1">
        <v>-29.34</v>
      </c>
      <c r="F346" s="1">
        <f t="shared" si="5"/>
        <v>32394.210000000006</v>
      </c>
      <c r="G346" t="s">
        <v>8</v>
      </c>
    </row>
    <row r="347" spans="1:18" x14ac:dyDescent="0.25">
      <c r="A347" s="30">
        <v>1</v>
      </c>
      <c r="B347" s="26">
        <v>45873</v>
      </c>
      <c r="C347" s="2" t="s">
        <v>83</v>
      </c>
      <c r="D347" t="s">
        <v>89</v>
      </c>
      <c r="E347" s="1">
        <v>180</v>
      </c>
      <c r="F347" s="1">
        <f t="shared" si="5"/>
        <v>32574.210000000006</v>
      </c>
    </row>
    <row r="348" spans="1:18" x14ac:dyDescent="0.25">
      <c r="A348" s="30">
        <v>1</v>
      </c>
      <c r="B348" s="26">
        <v>45874</v>
      </c>
      <c r="C348" s="2" t="s">
        <v>83</v>
      </c>
      <c r="D348" t="s">
        <v>433</v>
      </c>
      <c r="E348" s="1">
        <v>55</v>
      </c>
      <c r="F348" s="1">
        <f t="shared" si="5"/>
        <v>32629.210000000006</v>
      </c>
      <c r="H348" t="s">
        <v>400</v>
      </c>
    </row>
    <row r="349" spans="1:18" x14ac:dyDescent="0.25">
      <c r="A349" s="30">
        <v>19</v>
      </c>
      <c r="B349" s="26">
        <v>45875</v>
      </c>
      <c r="C349" s="2" t="s">
        <v>82</v>
      </c>
      <c r="D349" t="s">
        <v>432</v>
      </c>
      <c r="E349" s="1">
        <v>-759.19</v>
      </c>
      <c r="F349" s="1">
        <f t="shared" ref="F349:F412" si="6">F348+E349</f>
        <v>31870.020000000008</v>
      </c>
      <c r="G349">
        <v>55</v>
      </c>
    </row>
    <row r="350" spans="1:18" x14ac:dyDescent="0.25">
      <c r="A350" s="30">
        <v>1</v>
      </c>
      <c r="B350" s="26">
        <v>45876</v>
      </c>
      <c r="C350" s="2" t="s">
        <v>83</v>
      </c>
      <c r="D350" t="s">
        <v>86</v>
      </c>
      <c r="E350" s="1">
        <v>75</v>
      </c>
      <c r="F350" s="1">
        <f t="shared" si="6"/>
        <v>31945.020000000008</v>
      </c>
    </row>
    <row r="351" spans="1:18" x14ac:dyDescent="0.25">
      <c r="A351" s="30">
        <v>1</v>
      </c>
      <c r="B351" s="26">
        <v>45876</v>
      </c>
      <c r="C351" s="2" t="s">
        <v>83</v>
      </c>
      <c r="D351" t="s">
        <v>86</v>
      </c>
      <c r="E351" s="1">
        <v>255</v>
      </c>
      <c r="F351" s="1">
        <f t="shared" si="6"/>
        <v>32200.020000000008</v>
      </c>
    </row>
    <row r="352" spans="1:18" x14ac:dyDescent="0.25">
      <c r="A352" s="30">
        <v>1</v>
      </c>
      <c r="B352" s="26">
        <v>45880</v>
      </c>
      <c r="C352" s="2" t="s">
        <v>83</v>
      </c>
      <c r="D352" t="s">
        <v>198</v>
      </c>
      <c r="E352" s="1">
        <v>455</v>
      </c>
      <c r="F352" s="1">
        <f t="shared" si="6"/>
        <v>32655.020000000008</v>
      </c>
    </row>
    <row r="353" spans="1:11" x14ac:dyDescent="0.25">
      <c r="A353" s="30">
        <v>1</v>
      </c>
      <c r="B353" s="26">
        <v>45880</v>
      </c>
      <c r="C353" s="2" t="s">
        <v>83</v>
      </c>
      <c r="D353" t="s">
        <v>153</v>
      </c>
      <c r="E353" s="1">
        <v>75</v>
      </c>
      <c r="F353" s="1">
        <f t="shared" si="6"/>
        <v>32730.020000000008</v>
      </c>
    </row>
    <row r="354" spans="1:11" x14ac:dyDescent="0.25">
      <c r="A354" s="30">
        <v>1</v>
      </c>
      <c r="B354" s="26">
        <v>45880</v>
      </c>
      <c r="C354" s="2" t="s">
        <v>83</v>
      </c>
      <c r="D354" t="s">
        <v>87</v>
      </c>
      <c r="E354" s="1">
        <v>60</v>
      </c>
      <c r="F354" s="1">
        <f t="shared" si="6"/>
        <v>32790.020000000004</v>
      </c>
    </row>
    <row r="355" spans="1:11" x14ac:dyDescent="0.25">
      <c r="A355" s="30">
        <v>4</v>
      </c>
      <c r="B355" s="26">
        <v>45880</v>
      </c>
      <c r="C355" s="2" t="s">
        <v>83</v>
      </c>
      <c r="D355" t="s">
        <v>110</v>
      </c>
      <c r="E355" s="1">
        <v>300</v>
      </c>
      <c r="F355" s="1">
        <f t="shared" si="6"/>
        <v>33090.020000000004</v>
      </c>
    </row>
    <row r="356" spans="1:11" x14ac:dyDescent="0.25">
      <c r="A356" s="30">
        <v>16</v>
      </c>
      <c r="B356" s="26">
        <v>45880</v>
      </c>
      <c r="C356" s="2" t="s">
        <v>8</v>
      </c>
      <c r="D356" t="s">
        <v>54</v>
      </c>
      <c r="E356" s="1">
        <v>-43.26</v>
      </c>
      <c r="F356" s="1">
        <f t="shared" si="6"/>
        <v>33046.76</v>
      </c>
      <c r="G356" t="s">
        <v>8</v>
      </c>
    </row>
    <row r="357" spans="1:11" x14ac:dyDescent="0.25">
      <c r="A357" s="30">
        <v>1</v>
      </c>
      <c r="B357" s="26">
        <v>45881</v>
      </c>
      <c r="C357" s="2" t="s">
        <v>83</v>
      </c>
      <c r="D357" t="s">
        <v>545</v>
      </c>
      <c r="E357" s="1">
        <v>140</v>
      </c>
      <c r="F357" s="1">
        <f t="shared" si="6"/>
        <v>33186.76</v>
      </c>
    </row>
    <row r="358" spans="1:11" x14ac:dyDescent="0.25">
      <c r="A358" s="30">
        <v>1</v>
      </c>
      <c r="B358" s="26">
        <v>45887</v>
      </c>
      <c r="C358" s="2" t="s">
        <v>83</v>
      </c>
      <c r="D358" t="s">
        <v>113</v>
      </c>
      <c r="E358" s="1">
        <v>85</v>
      </c>
      <c r="F358" s="1">
        <f t="shared" si="6"/>
        <v>33271.760000000002</v>
      </c>
      <c r="H358" t="s">
        <v>400</v>
      </c>
    </row>
    <row r="359" spans="1:11" x14ac:dyDescent="0.25">
      <c r="A359" s="30">
        <v>1</v>
      </c>
      <c r="B359" s="26">
        <v>45887</v>
      </c>
      <c r="C359" s="2" t="s">
        <v>83</v>
      </c>
      <c r="D359" t="s">
        <v>434</v>
      </c>
      <c r="E359" s="1">
        <v>45</v>
      </c>
      <c r="F359" s="1">
        <f t="shared" si="6"/>
        <v>33316.76</v>
      </c>
      <c r="H359" t="s">
        <v>400</v>
      </c>
    </row>
    <row r="360" spans="1:11" x14ac:dyDescent="0.25">
      <c r="A360" s="30">
        <v>11</v>
      </c>
      <c r="B360" s="26">
        <v>45891</v>
      </c>
      <c r="C360" s="2" t="s">
        <v>8</v>
      </c>
      <c r="D360" t="s">
        <v>12</v>
      </c>
      <c r="E360" s="1">
        <v>-101.73</v>
      </c>
      <c r="F360" s="1">
        <f t="shared" si="6"/>
        <v>33215.03</v>
      </c>
      <c r="G360" t="s">
        <v>8</v>
      </c>
    </row>
    <row r="361" spans="1:11" x14ac:dyDescent="0.25">
      <c r="A361" s="30">
        <v>16</v>
      </c>
      <c r="B361" s="26">
        <v>45891</v>
      </c>
      <c r="C361" s="2" t="s">
        <v>8</v>
      </c>
      <c r="D361" t="s">
        <v>160</v>
      </c>
      <c r="E361" s="1">
        <v>-12.04</v>
      </c>
      <c r="F361" s="1">
        <f t="shared" si="6"/>
        <v>33202.99</v>
      </c>
      <c r="G361" t="s">
        <v>8</v>
      </c>
    </row>
    <row r="362" spans="1:11" x14ac:dyDescent="0.25">
      <c r="A362" s="30">
        <v>1</v>
      </c>
      <c r="B362" s="26">
        <v>45895</v>
      </c>
      <c r="C362" s="2" t="s">
        <v>83</v>
      </c>
      <c r="D362" t="s">
        <v>93</v>
      </c>
      <c r="E362" s="1">
        <v>15</v>
      </c>
      <c r="F362" s="1">
        <f t="shared" si="6"/>
        <v>33217.99</v>
      </c>
      <c r="K362" t="s">
        <v>547</v>
      </c>
    </row>
    <row r="363" spans="1:11" x14ac:dyDescent="0.25">
      <c r="A363" s="30">
        <v>15</v>
      </c>
      <c r="B363" s="26">
        <v>45895</v>
      </c>
      <c r="C363" s="2" t="s">
        <v>82</v>
      </c>
      <c r="D363" t="s">
        <v>116</v>
      </c>
      <c r="E363" s="1">
        <v>-612.5</v>
      </c>
      <c r="F363" s="1">
        <f t="shared" si="6"/>
        <v>32605.489999999998</v>
      </c>
      <c r="G363">
        <v>56</v>
      </c>
      <c r="K363" t="s">
        <v>548</v>
      </c>
    </row>
    <row r="364" spans="1:11" x14ac:dyDescent="0.25">
      <c r="A364" s="30">
        <v>19</v>
      </c>
      <c r="B364" s="26">
        <v>45895</v>
      </c>
      <c r="C364" s="2" t="s">
        <v>82</v>
      </c>
      <c r="D364" t="s">
        <v>166</v>
      </c>
      <c r="E364" s="1">
        <v>-132.66999999999999</v>
      </c>
      <c r="F364" s="1">
        <f t="shared" si="6"/>
        <v>32472.82</v>
      </c>
      <c r="G364">
        <v>57</v>
      </c>
      <c r="H364" s="1"/>
      <c r="K364" t="s">
        <v>549</v>
      </c>
    </row>
    <row r="365" spans="1:11" x14ac:dyDescent="0.25">
      <c r="A365" s="30">
        <v>1</v>
      </c>
      <c r="B365" s="26">
        <v>45898</v>
      </c>
      <c r="C365" s="2" t="s">
        <v>83</v>
      </c>
      <c r="D365" t="s">
        <v>253</v>
      </c>
      <c r="E365" s="1">
        <v>75</v>
      </c>
      <c r="F365" s="1">
        <f t="shared" si="6"/>
        <v>32547.82</v>
      </c>
      <c r="H365" t="s">
        <v>400</v>
      </c>
    </row>
    <row r="366" spans="1:11" x14ac:dyDescent="0.25">
      <c r="A366" s="30">
        <v>20</v>
      </c>
      <c r="B366" s="26">
        <v>45901</v>
      </c>
      <c r="C366" s="2" t="s">
        <v>82</v>
      </c>
      <c r="D366" t="s">
        <v>435</v>
      </c>
      <c r="E366" s="1">
        <v>-13.88</v>
      </c>
      <c r="F366" s="1">
        <f t="shared" si="6"/>
        <v>32533.94</v>
      </c>
      <c r="G366">
        <v>58</v>
      </c>
    </row>
    <row r="367" spans="1:11" x14ac:dyDescent="0.25">
      <c r="A367" s="30">
        <v>19</v>
      </c>
      <c r="B367" s="26">
        <v>45901</v>
      </c>
      <c r="C367" s="2" t="s">
        <v>82</v>
      </c>
      <c r="D367" t="s">
        <v>166</v>
      </c>
      <c r="E367" s="1">
        <v>-13.25</v>
      </c>
      <c r="F367" s="1">
        <f t="shared" si="6"/>
        <v>32520.69</v>
      </c>
      <c r="G367">
        <v>59</v>
      </c>
    </row>
    <row r="368" spans="1:11" x14ac:dyDescent="0.25">
      <c r="A368" s="30">
        <v>25</v>
      </c>
      <c r="B368" s="26">
        <v>45901</v>
      </c>
      <c r="C368" s="2" t="s">
        <v>82</v>
      </c>
      <c r="D368" t="s">
        <v>435</v>
      </c>
      <c r="E368" s="1">
        <v>-80</v>
      </c>
      <c r="F368" s="1">
        <f t="shared" si="6"/>
        <v>32440.69</v>
      </c>
      <c r="G368">
        <v>60</v>
      </c>
    </row>
    <row r="369" spans="1:8" x14ac:dyDescent="0.25">
      <c r="A369" s="30">
        <v>23</v>
      </c>
      <c r="B369" s="26">
        <v>45901</v>
      </c>
      <c r="C369" s="2" t="s">
        <v>8</v>
      </c>
      <c r="D369" t="s">
        <v>254</v>
      </c>
      <c r="E369" s="1">
        <v>-29.34</v>
      </c>
      <c r="F369" s="1">
        <f t="shared" si="6"/>
        <v>32411.35</v>
      </c>
      <c r="G369" t="s">
        <v>8</v>
      </c>
    </row>
    <row r="370" spans="1:8" x14ac:dyDescent="0.25">
      <c r="A370" s="30">
        <v>14</v>
      </c>
      <c r="B370" s="26">
        <v>45901</v>
      </c>
      <c r="C370" s="2" t="s">
        <v>8</v>
      </c>
      <c r="D370" t="s">
        <v>431</v>
      </c>
      <c r="E370" s="1">
        <v>-104.18</v>
      </c>
      <c r="F370" s="1">
        <f t="shared" si="6"/>
        <v>32307.17</v>
      </c>
      <c r="G370" t="s">
        <v>8</v>
      </c>
    </row>
    <row r="371" spans="1:8" x14ac:dyDescent="0.25">
      <c r="A371" s="30">
        <v>1</v>
      </c>
      <c r="B371" s="26">
        <v>45908</v>
      </c>
      <c r="C371" s="2" t="s">
        <v>83</v>
      </c>
      <c r="D371" t="s">
        <v>436</v>
      </c>
      <c r="E371" s="1">
        <v>55</v>
      </c>
      <c r="F371" s="1">
        <f t="shared" si="6"/>
        <v>32362.17</v>
      </c>
      <c r="H371" t="s">
        <v>400</v>
      </c>
    </row>
    <row r="372" spans="1:8" hidden="1" x14ac:dyDescent="0.25">
      <c r="E372" s="1"/>
      <c r="F372" s="1">
        <f t="shared" si="6"/>
        <v>32362.17</v>
      </c>
    </row>
    <row r="373" spans="1:8" hidden="1" x14ac:dyDescent="0.25">
      <c r="E373" s="1"/>
      <c r="F373" s="1">
        <f t="shared" si="6"/>
        <v>32362.17</v>
      </c>
    </row>
    <row r="374" spans="1:8" hidden="1" x14ac:dyDescent="0.25">
      <c r="E374" s="1"/>
      <c r="F374" s="1">
        <f t="shared" si="6"/>
        <v>32362.17</v>
      </c>
    </row>
    <row r="375" spans="1:8" hidden="1" x14ac:dyDescent="0.25">
      <c r="E375" s="1"/>
      <c r="F375" s="1">
        <f t="shared" si="6"/>
        <v>32362.17</v>
      </c>
    </row>
    <row r="376" spans="1:8" hidden="1" x14ac:dyDescent="0.25">
      <c r="E376" s="1"/>
      <c r="F376" s="1">
        <f t="shared" si="6"/>
        <v>32362.17</v>
      </c>
    </row>
    <row r="377" spans="1:8" hidden="1" x14ac:dyDescent="0.25">
      <c r="E377" s="1"/>
      <c r="F377" s="1">
        <f t="shared" si="6"/>
        <v>32362.17</v>
      </c>
    </row>
    <row r="378" spans="1:8" hidden="1" x14ac:dyDescent="0.25">
      <c r="E378" s="1"/>
      <c r="F378" s="1">
        <f t="shared" si="6"/>
        <v>32362.17</v>
      </c>
    </row>
    <row r="379" spans="1:8" hidden="1" x14ac:dyDescent="0.25">
      <c r="E379" s="1"/>
      <c r="F379" s="1">
        <f t="shared" si="6"/>
        <v>32362.17</v>
      </c>
    </row>
    <row r="380" spans="1:8" hidden="1" x14ac:dyDescent="0.25">
      <c r="E380" s="1"/>
      <c r="F380" s="1">
        <f t="shared" si="6"/>
        <v>32362.17</v>
      </c>
    </row>
    <row r="381" spans="1:8" hidden="1" x14ac:dyDescent="0.25">
      <c r="E381" s="1"/>
      <c r="F381" s="1">
        <f t="shared" si="6"/>
        <v>32362.17</v>
      </c>
    </row>
    <row r="382" spans="1:8" hidden="1" x14ac:dyDescent="0.25">
      <c r="E382" s="1"/>
      <c r="F382" s="1">
        <f t="shared" si="6"/>
        <v>32362.17</v>
      </c>
    </row>
    <row r="383" spans="1:8" hidden="1" x14ac:dyDescent="0.25">
      <c r="E383" s="1"/>
      <c r="F383" s="1">
        <f t="shared" si="6"/>
        <v>32362.17</v>
      </c>
    </row>
    <row r="384" spans="1:8" hidden="1" x14ac:dyDescent="0.25">
      <c r="E384" s="1"/>
      <c r="F384" s="1">
        <f t="shared" si="6"/>
        <v>32362.17</v>
      </c>
    </row>
    <row r="385" spans="5:6" hidden="1" x14ac:dyDescent="0.25">
      <c r="E385" s="1"/>
      <c r="F385" s="1">
        <f t="shared" si="6"/>
        <v>32362.17</v>
      </c>
    </row>
    <row r="386" spans="5:6" hidden="1" x14ac:dyDescent="0.25">
      <c r="E386" s="1"/>
      <c r="F386" s="1">
        <f t="shared" si="6"/>
        <v>32362.17</v>
      </c>
    </row>
    <row r="387" spans="5:6" hidden="1" x14ac:dyDescent="0.25">
      <c r="E387" s="1"/>
      <c r="F387" s="1">
        <f t="shared" si="6"/>
        <v>32362.17</v>
      </c>
    </row>
    <row r="388" spans="5:6" hidden="1" x14ac:dyDescent="0.25">
      <c r="E388" s="1"/>
      <c r="F388" s="1">
        <f t="shared" si="6"/>
        <v>32362.17</v>
      </c>
    </row>
    <row r="389" spans="5:6" hidden="1" x14ac:dyDescent="0.25">
      <c r="E389" s="1"/>
      <c r="F389" s="1">
        <f t="shared" si="6"/>
        <v>32362.17</v>
      </c>
    </row>
    <row r="390" spans="5:6" hidden="1" x14ac:dyDescent="0.25">
      <c r="E390" s="1"/>
      <c r="F390" s="1">
        <f t="shared" si="6"/>
        <v>32362.17</v>
      </c>
    </row>
    <row r="391" spans="5:6" hidden="1" x14ac:dyDescent="0.25">
      <c r="E391" s="1"/>
      <c r="F391" s="1">
        <f t="shared" si="6"/>
        <v>32362.17</v>
      </c>
    </row>
    <row r="392" spans="5:6" hidden="1" x14ac:dyDescent="0.25">
      <c r="E392" s="1"/>
      <c r="F392" s="1">
        <f t="shared" si="6"/>
        <v>32362.17</v>
      </c>
    </row>
    <row r="393" spans="5:6" hidden="1" x14ac:dyDescent="0.25">
      <c r="E393" s="1"/>
      <c r="F393" s="1">
        <f t="shared" si="6"/>
        <v>32362.17</v>
      </c>
    </row>
    <row r="394" spans="5:6" hidden="1" x14ac:dyDescent="0.25">
      <c r="E394" s="1"/>
      <c r="F394" s="1">
        <f t="shared" si="6"/>
        <v>32362.17</v>
      </c>
    </row>
    <row r="395" spans="5:6" hidden="1" x14ac:dyDescent="0.25">
      <c r="E395" s="1"/>
      <c r="F395" s="1">
        <f t="shared" si="6"/>
        <v>32362.17</v>
      </c>
    </row>
    <row r="396" spans="5:6" hidden="1" x14ac:dyDescent="0.25">
      <c r="E396" s="1"/>
      <c r="F396" s="1">
        <f t="shared" si="6"/>
        <v>32362.17</v>
      </c>
    </row>
    <row r="397" spans="5:6" hidden="1" x14ac:dyDescent="0.25">
      <c r="E397" s="1"/>
      <c r="F397" s="1">
        <f t="shared" si="6"/>
        <v>32362.17</v>
      </c>
    </row>
    <row r="398" spans="5:6" hidden="1" x14ac:dyDescent="0.25">
      <c r="E398" s="1"/>
      <c r="F398" s="1">
        <f t="shared" si="6"/>
        <v>32362.17</v>
      </c>
    </row>
    <row r="399" spans="5:6" hidden="1" x14ac:dyDescent="0.25">
      <c r="E399" s="1"/>
      <c r="F399" s="1">
        <f t="shared" si="6"/>
        <v>32362.17</v>
      </c>
    </row>
    <row r="400" spans="5:6" hidden="1" x14ac:dyDescent="0.25">
      <c r="E400" s="1"/>
      <c r="F400" s="1">
        <f t="shared" si="6"/>
        <v>32362.17</v>
      </c>
    </row>
    <row r="401" spans="1:12" hidden="1" x14ac:dyDescent="0.25">
      <c r="E401" s="1"/>
      <c r="F401" s="1">
        <f t="shared" si="6"/>
        <v>32362.17</v>
      </c>
    </row>
    <row r="402" spans="1:12" hidden="1" x14ac:dyDescent="0.25">
      <c r="E402" s="1"/>
      <c r="F402" s="1">
        <f t="shared" si="6"/>
        <v>32362.17</v>
      </c>
    </row>
    <row r="403" spans="1:12" hidden="1" x14ac:dyDescent="0.25">
      <c r="E403" s="1"/>
      <c r="F403" s="1">
        <f t="shared" si="6"/>
        <v>32362.17</v>
      </c>
    </row>
    <row r="404" spans="1:12" hidden="1" x14ac:dyDescent="0.25">
      <c r="E404" s="1"/>
      <c r="F404" s="1">
        <f t="shared" si="6"/>
        <v>32362.17</v>
      </c>
    </row>
    <row r="405" spans="1:12" x14ac:dyDescent="0.25">
      <c r="A405" s="30">
        <v>1</v>
      </c>
      <c r="B405" s="26">
        <v>45908</v>
      </c>
      <c r="C405" s="2" t="s">
        <v>83</v>
      </c>
      <c r="D405" t="s">
        <v>92</v>
      </c>
      <c r="E405" s="1">
        <v>15</v>
      </c>
      <c r="F405" s="1">
        <f t="shared" si="6"/>
        <v>32377.17</v>
      </c>
    </row>
    <row r="406" spans="1:12" x14ac:dyDescent="0.25">
      <c r="A406" s="30">
        <v>1</v>
      </c>
      <c r="B406" s="26">
        <v>45908</v>
      </c>
      <c r="C406" s="2" t="s">
        <v>80</v>
      </c>
      <c r="D406" t="s">
        <v>90</v>
      </c>
      <c r="E406" s="1">
        <v>120</v>
      </c>
      <c r="F406" s="1">
        <f t="shared" si="6"/>
        <v>32497.17</v>
      </c>
    </row>
    <row r="407" spans="1:12" x14ac:dyDescent="0.25">
      <c r="A407" s="30">
        <v>1</v>
      </c>
      <c r="B407" s="26">
        <v>45909</v>
      </c>
      <c r="C407" s="2" t="s">
        <v>83</v>
      </c>
      <c r="D407" t="s">
        <v>86</v>
      </c>
      <c r="E407" s="1">
        <v>240</v>
      </c>
      <c r="F407" s="1">
        <f t="shared" si="6"/>
        <v>32737.17</v>
      </c>
    </row>
    <row r="408" spans="1:12" x14ac:dyDescent="0.25">
      <c r="A408" s="30">
        <v>1</v>
      </c>
      <c r="B408" s="26">
        <v>45909</v>
      </c>
      <c r="C408" s="2" t="s">
        <v>83</v>
      </c>
      <c r="D408" t="s">
        <v>545</v>
      </c>
      <c r="E408" s="1">
        <v>140</v>
      </c>
      <c r="F408" s="1">
        <f t="shared" si="6"/>
        <v>32877.17</v>
      </c>
    </row>
    <row r="409" spans="1:12" x14ac:dyDescent="0.25">
      <c r="A409" s="30">
        <v>1</v>
      </c>
      <c r="B409" s="26">
        <v>45909</v>
      </c>
      <c r="C409" s="2" t="s">
        <v>83</v>
      </c>
      <c r="D409" t="s">
        <v>437</v>
      </c>
      <c r="E409" s="1">
        <v>55</v>
      </c>
      <c r="F409" s="1">
        <f t="shared" si="6"/>
        <v>32932.17</v>
      </c>
      <c r="H409" t="s">
        <v>400</v>
      </c>
    </row>
    <row r="410" spans="1:12" x14ac:dyDescent="0.25">
      <c r="A410" s="30">
        <v>16</v>
      </c>
      <c r="B410" s="26">
        <v>45909</v>
      </c>
      <c r="C410" s="2" t="s">
        <v>8</v>
      </c>
      <c r="D410" t="s">
        <v>11</v>
      </c>
      <c r="E410" s="1">
        <v>-39.54</v>
      </c>
      <c r="F410" s="1">
        <f t="shared" si="6"/>
        <v>32892.629999999997</v>
      </c>
      <c r="G410" t="s">
        <v>8</v>
      </c>
    </row>
    <row r="411" spans="1:12" x14ac:dyDescent="0.25">
      <c r="A411" s="30">
        <v>8</v>
      </c>
      <c r="B411" s="26">
        <v>45915</v>
      </c>
      <c r="C411" s="2" t="s">
        <v>83</v>
      </c>
      <c r="D411" t="s">
        <v>438</v>
      </c>
      <c r="E411" s="1">
        <v>30</v>
      </c>
      <c r="F411" s="1">
        <f t="shared" si="6"/>
        <v>32922.629999999997</v>
      </c>
    </row>
    <row r="412" spans="1:12" x14ac:dyDescent="0.25">
      <c r="A412" s="30">
        <v>8</v>
      </c>
      <c r="B412" s="26">
        <v>45915</v>
      </c>
      <c r="C412" s="2" t="s">
        <v>83</v>
      </c>
      <c r="D412" t="s">
        <v>236</v>
      </c>
      <c r="E412" s="1">
        <v>15</v>
      </c>
      <c r="F412" s="1">
        <f t="shared" si="6"/>
        <v>32937.629999999997</v>
      </c>
    </row>
    <row r="413" spans="1:12" x14ac:dyDescent="0.25">
      <c r="A413" s="30">
        <v>8</v>
      </c>
      <c r="B413" s="26">
        <v>45916</v>
      </c>
      <c r="C413" s="2" t="s">
        <v>83</v>
      </c>
      <c r="D413" t="s">
        <v>439</v>
      </c>
      <c r="E413" s="1">
        <v>15</v>
      </c>
      <c r="F413" s="1">
        <f t="shared" ref="F413:F476" si="7">F412+E413</f>
        <v>32952.629999999997</v>
      </c>
    </row>
    <row r="414" spans="1:12" x14ac:dyDescent="0.25">
      <c r="A414" s="30">
        <v>8</v>
      </c>
      <c r="B414" s="26">
        <v>45916</v>
      </c>
      <c r="C414" s="2" t="s">
        <v>83</v>
      </c>
      <c r="D414" t="s">
        <v>443</v>
      </c>
      <c r="E414" s="1">
        <v>15</v>
      </c>
      <c r="F414" s="1">
        <f t="shared" si="7"/>
        <v>32967.629999999997</v>
      </c>
    </row>
    <row r="415" spans="1:12" x14ac:dyDescent="0.25">
      <c r="A415" s="30">
        <v>1</v>
      </c>
      <c r="B415" s="26">
        <v>45916</v>
      </c>
      <c r="C415" s="2" t="s">
        <v>83</v>
      </c>
      <c r="D415" t="s">
        <v>87</v>
      </c>
      <c r="E415" s="1">
        <v>60</v>
      </c>
      <c r="F415" s="1">
        <f t="shared" si="7"/>
        <v>33027.629999999997</v>
      </c>
    </row>
    <row r="416" spans="1:12" x14ac:dyDescent="0.25">
      <c r="A416" s="30">
        <v>1</v>
      </c>
      <c r="B416" s="26">
        <v>45916</v>
      </c>
      <c r="C416" s="2" t="s">
        <v>83</v>
      </c>
      <c r="D416" t="s">
        <v>440</v>
      </c>
      <c r="E416" s="1">
        <v>55</v>
      </c>
      <c r="F416" s="1">
        <f t="shared" si="7"/>
        <v>33082.629999999997</v>
      </c>
      <c r="H416" t="s">
        <v>400</v>
      </c>
      <c r="L416" s="26"/>
    </row>
    <row r="417" spans="1:18" x14ac:dyDescent="0.25">
      <c r="A417" s="30">
        <v>1</v>
      </c>
      <c r="B417" s="26">
        <v>45917</v>
      </c>
      <c r="C417" s="2" t="s">
        <v>83</v>
      </c>
      <c r="D417" t="s">
        <v>442</v>
      </c>
      <c r="E417" s="1">
        <v>50</v>
      </c>
      <c r="F417" s="1">
        <f t="shared" si="7"/>
        <v>33132.629999999997</v>
      </c>
    </row>
    <row r="418" spans="1:18" x14ac:dyDescent="0.25">
      <c r="A418" s="30">
        <v>19</v>
      </c>
      <c r="B418" s="26">
        <v>45918</v>
      </c>
      <c r="C418" s="2" t="s">
        <v>82</v>
      </c>
      <c r="D418" t="s">
        <v>166</v>
      </c>
      <c r="E418" s="1">
        <v>-62.35</v>
      </c>
      <c r="F418" s="1">
        <f t="shared" si="7"/>
        <v>33070.28</v>
      </c>
      <c r="G418">
        <v>61</v>
      </c>
    </row>
    <row r="419" spans="1:18" x14ac:dyDescent="0.25">
      <c r="A419" s="30">
        <v>22</v>
      </c>
      <c r="B419" s="26">
        <v>45918</v>
      </c>
      <c r="C419" s="2" t="s">
        <v>82</v>
      </c>
      <c r="D419" t="s">
        <v>441</v>
      </c>
      <c r="E419" s="1">
        <v>-180</v>
      </c>
      <c r="F419" s="1">
        <f t="shared" si="7"/>
        <v>32890.28</v>
      </c>
      <c r="G419">
        <v>62</v>
      </c>
    </row>
    <row r="420" spans="1:18" x14ac:dyDescent="0.25">
      <c r="A420" s="30">
        <v>1</v>
      </c>
      <c r="B420" s="26">
        <v>45919</v>
      </c>
      <c r="C420" s="2" t="s">
        <v>83</v>
      </c>
      <c r="D420" t="s">
        <v>153</v>
      </c>
      <c r="E420" s="1">
        <v>120</v>
      </c>
      <c r="F420" s="1">
        <f t="shared" si="7"/>
        <v>33010.28</v>
      </c>
      <c r="Q420" t="s">
        <v>77</v>
      </c>
    </row>
    <row r="421" spans="1:18" x14ac:dyDescent="0.25">
      <c r="A421" s="30">
        <v>8</v>
      </c>
      <c r="B421" s="26">
        <v>45919</v>
      </c>
      <c r="C421" s="2" t="s">
        <v>83</v>
      </c>
      <c r="D421" t="s">
        <v>444</v>
      </c>
      <c r="E421" s="1">
        <v>30</v>
      </c>
      <c r="F421" s="1">
        <f t="shared" si="7"/>
        <v>33040.28</v>
      </c>
      <c r="Q421" s="23">
        <v>1</v>
      </c>
      <c r="R421" s="13" t="s">
        <v>17</v>
      </c>
    </row>
    <row r="422" spans="1:18" x14ac:dyDescent="0.25">
      <c r="A422" s="30">
        <v>1</v>
      </c>
      <c r="B422" s="26">
        <v>45919</v>
      </c>
      <c r="C422" s="2" t="s">
        <v>83</v>
      </c>
      <c r="D422" t="s">
        <v>445</v>
      </c>
      <c r="E422" s="1">
        <v>15</v>
      </c>
      <c r="F422" s="1">
        <f t="shared" si="7"/>
        <v>33055.279999999999</v>
      </c>
      <c r="Q422" s="23">
        <v>2</v>
      </c>
      <c r="R422" s="13" t="s">
        <v>16</v>
      </c>
    </row>
    <row r="423" spans="1:18" x14ac:dyDescent="0.25">
      <c r="A423" s="30">
        <v>8</v>
      </c>
      <c r="B423" s="26">
        <v>45919</v>
      </c>
      <c r="C423" s="2" t="s">
        <v>80</v>
      </c>
      <c r="D423" t="s">
        <v>446</v>
      </c>
      <c r="E423" s="1">
        <v>15</v>
      </c>
      <c r="F423" s="1">
        <f t="shared" si="7"/>
        <v>33070.28</v>
      </c>
      <c r="Q423" s="23">
        <v>3</v>
      </c>
      <c r="R423" s="13" t="s">
        <v>19</v>
      </c>
    </row>
    <row r="424" spans="1:18" x14ac:dyDescent="0.25">
      <c r="A424" s="30">
        <v>16</v>
      </c>
      <c r="B424" s="26">
        <v>45919</v>
      </c>
      <c r="C424" s="2" t="s">
        <v>82</v>
      </c>
      <c r="D424" t="s">
        <v>457</v>
      </c>
      <c r="E424" s="1">
        <v>-19.2</v>
      </c>
      <c r="F424" s="1">
        <f t="shared" si="7"/>
        <v>33051.08</v>
      </c>
      <c r="G424">
        <v>63</v>
      </c>
      <c r="Q424" s="23">
        <v>4</v>
      </c>
      <c r="R424" s="13" t="s">
        <v>22</v>
      </c>
    </row>
    <row r="425" spans="1:18" x14ac:dyDescent="0.25">
      <c r="A425" s="30">
        <v>19</v>
      </c>
      <c r="B425" s="26">
        <v>45919</v>
      </c>
      <c r="C425" s="2" t="s">
        <v>82</v>
      </c>
      <c r="D425" t="s">
        <v>447</v>
      </c>
      <c r="E425" s="1">
        <v>-1095.3399999999999</v>
      </c>
      <c r="F425" s="1">
        <f t="shared" si="7"/>
        <v>31955.74</v>
      </c>
      <c r="G425">
        <v>64</v>
      </c>
      <c r="Q425" s="23">
        <v>5</v>
      </c>
      <c r="R425" s="13" t="s">
        <v>36</v>
      </c>
    </row>
    <row r="426" spans="1:18" x14ac:dyDescent="0.25">
      <c r="A426" s="30">
        <v>19</v>
      </c>
      <c r="B426" s="26">
        <v>45919</v>
      </c>
      <c r="C426" s="2" t="s">
        <v>82</v>
      </c>
      <c r="D426" t="s">
        <v>241</v>
      </c>
      <c r="E426" s="1">
        <v>-2250</v>
      </c>
      <c r="F426" s="1">
        <f t="shared" si="7"/>
        <v>29705.74</v>
      </c>
      <c r="G426">
        <v>65</v>
      </c>
      <c r="Q426" s="23">
        <v>6</v>
      </c>
      <c r="R426" s="13" t="s">
        <v>24</v>
      </c>
    </row>
    <row r="427" spans="1:18" x14ac:dyDescent="0.25">
      <c r="A427" s="30">
        <v>8</v>
      </c>
      <c r="B427" s="26">
        <v>45922</v>
      </c>
      <c r="C427" s="2" t="s">
        <v>83</v>
      </c>
      <c r="D427" t="s">
        <v>448</v>
      </c>
      <c r="E427" s="1">
        <v>30</v>
      </c>
      <c r="F427" s="1">
        <f t="shared" si="7"/>
        <v>29735.74</v>
      </c>
      <c r="Q427" s="23">
        <v>7</v>
      </c>
      <c r="R427" s="13" t="s">
        <v>20</v>
      </c>
    </row>
    <row r="428" spans="1:18" x14ac:dyDescent="0.25">
      <c r="A428" s="30">
        <v>13</v>
      </c>
      <c r="B428" s="26">
        <v>45922</v>
      </c>
      <c r="C428" s="2" t="s">
        <v>8</v>
      </c>
      <c r="D428" t="s">
        <v>380</v>
      </c>
      <c r="E428" s="1">
        <v>-414.78</v>
      </c>
      <c r="F428" s="1">
        <f t="shared" si="7"/>
        <v>29320.960000000003</v>
      </c>
      <c r="G428" t="s">
        <v>8</v>
      </c>
      <c r="K428" s="7"/>
      <c r="Q428" s="23">
        <v>8</v>
      </c>
      <c r="R428" s="13" t="s">
        <v>147</v>
      </c>
    </row>
    <row r="429" spans="1:18" x14ac:dyDescent="0.25">
      <c r="A429" s="30">
        <v>16</v>
      </c>
      <c r="B429" s="26">
        <v>45922</v>
      </c>
      <c r="C429" s="2" t="s">
        <v>8</v>
      </c>
      <c r="D429" t="s">
        <v>160</v>
      </c>
      <c r="E429" s="1">
        <v>-12.04</v>
      </c>
      <c r="F429" s="1">
        <f t="shared" si="7"/>
        <v>29308.920000000002</v>
      </c>
      <c r="G429" t="s">
        <v>8</v>
      </c>
      <c r="L429" s="1"/>
      <c r="Q429" s="23">
        <v>10</v>
      </c>
      <c r="R429" s="13" t="s">
        <v>37</v>
      </c>
    </row>
    <row r="430" spans="1:18" x14ac:dyDescent="0.25">
      <c r="A430" s="30">
        <v>1</v>
      </c>
      <c r="B430" s="26">
        <v>45923</v>
      </c>
      <c r="C430" s="2" t="s">
        <v>83</v>
      </c>
      <c r="D430" t="s">
        <v>509</v>
      </c>
      <c r="E430" s="1">
        <v>75</v>
      </c>
      <c r="F430" s="1">
        <f t="shared" si="7"/>
        <v>29383.920000000002</v>
      </c>
      <c r="H430" t="s">
        <v>400</v>
      </c>
      <c r="J430" s="26"/>
      <c r="L430" s="1"/>
      <c r="Q430" s="23">
        <v>11</v>
      </c>
      <c r="R430" s="13" t="s">
        <v>38</v>
      </c>
    </row>
    <row r="431" spans="1:18" x14ac:dyDescent="0.25">
      <c r="A431" s="30">
        <v>1</v>
      </c>
      <c r="B431" s="26">
        <v>45923</v>
      </c>
      <c r="C431" s="2" t="s">
        <v>83</v>
      </c>
      <c r="D431" t="s">
        <v>92</v>
      </c>
      <c r="E431" s="1">
        <v>60</v>
      </c>
      <c r="F431" s="1">
        <f t="shared" si="7"/>
        <v>29443.920000000002</v>
      </c>
      <c r="G431" s="11"/>
      <c r="J431" s="26"/>
      <c r="L431" s="1"/>
      <c r="Q431" s="23">
        <v>12</v>
      </c>
      <c r="R431" s="13" t="s">
        <v>13</v>
      </c>
    </row>
    <row r="432" spans="1:18" x14ac:dyDescent="0.25">
      <c r="A432" s="30">
        <v>8</v>
      </c>
      <c r="B432" s="26">
        <v>45924</v>
      </c>
      <c r="C432" s="2" t="s">
        <v>120</v>
      </c>
      <c r="D432" t="s">
        <v>453</v>
      </c>
      <c r="E432" s="1">
        <v>30</v>
      </c>
      <c r="F432" s="1">
        <f t="shared" si="7"/>
        <v>29473.920000000002</v>
      </c>
      <c r="G432" s="11"/>
      <c r="J432" s="26"/>
      <c r="L432" s="1"/>
      <c r="Q432" s="23">
        <v>13</v>
      </c>
      <c r="R432" s="13" t="s">
        <v>39</v>
      </c>
    </row>
    <row r="433" spans="1:18" x14ac:dyDescent="0.25">
      <c r="A433" s="30">
        <v>8</v>
      </c>
      <c r="B433" s="26">
        <v>45924</v>
      </c>
      <c r="C433" s="2" t="s">
        <v>120</v>
      </c>
      <c r="D433" t="s">
        <v>454</v>
      </c>
      <c r="E433" s="1">
        <v>15</v>
      </c>
      <c r="F433" s="1">
        <f t="shared" si="7"/>
        <v>29488.920000000002</v>
      </c>
      <c r="G433" s="1"/>
      <c r="J433" s="26"/>
      <c r="L433" s="1"/>
      <c r="Q433" s="23">
        <v>14</v>
      </c>
      <c r="R433" s="13" t="s">
        <v>40</v>
      </c>
    </row>
    <row r="434" spans="1:18" x14ac:dyDescent="0.25">
      <c r="A434" s="30">
        <v>8</v>
      </c>
      <c r="B434" s="26">
        <v>45924</v>
      </c>
      <c r="C434" s="2" t="s">
        <v>83</v>
      </c>
      <c r="D434" t="s">
        <v>449</v>
      </c>
      <c r="E434" s="1">
        <v>15</v>
      </c>
      <c r="F434" s="1">
        <f t="shared" si="7"/>
        <v>29503.920000000002</v>
      </c>
      <c r="G434" s="1"/>
      <c r="J434" s="26"/>
      <c r="L434" s="1"/>
      <c r="Q434" s="23">
        <v>15</v>
      </c>
      <c r="R434" s="13" t="s">
        <v>23</v>
      </c>
    </row>
    <row r="435" spans="1:18" x14ac:dyDescent="0.25">
      <c r="A435" s="30">
        <v>19</v>
      </c>
      <c r="B435" s="26">
        <v>45924</v>
      </c>
      <c r="C435" s="2" t="s">
        <v>82</v>
      </c>
      <c r="D435" t="s">
        <v>450</v>
      </c>
      <c r="E435" s="1">
        <v>-23.79</v>
      </c>
      <c r="F435" s="1">
        <f t="shared" si="7"/>
        <v>29480.13</v>
      </c>
      <c r="G435" s="11">
        <v>66</v>
      </c>
      <c r="J435" s="26"/>
      <c r="L435" s="1"/>
      <c r="Q435" s="23">
        <v>16</v>
      </c>
      <c r="R435" s="13" t="s">
        <v>149</v>
      </c>
    </row>
    <row r="436" spans="1:18" x14ac:dyDescent="0.25">
      <c r="A436" s="30">
        <v>8</v>
      </c>
      <c r="B436" s="26">
        <v>45925</v>
      </c>
      <c r="C436" s="2" t="s">
        <v>83</v>
      </c>
      <c r="D436" t="s">
        <v>451</v>
      </c>
      <c r="E436" s="1">
        <v>15</v>
      </c>
      <c r="F436" s="1">
        <f t="shared" si="7"/>
        <v>29495.13</v>
      </c>
      <c r="G436" s="11"/>
      <c r="J436" s="26"/>
      <c r="L436" s="1"/>
      <c r="Q436" s="23">
        <v>17</v>
      </c>
      <c r="R436" s="13" t="s">
        <v>42</v>
      </c>
    </row>
    <row r="437" spans="1:18" x14ac:dyDescent="0.25">
      <c r="A437" s="30">
        <v>8</v>
      </c>
      <c r="B437" s="26">
        <v>45926</v>
      </c>
      <c r="C437" s="2" t="s">
        <v>83</v>
      </c>
      <c r="D437" t="s">
        <v>471</v>
      </c>
      <c r="E437" s="1">
        <v>15</v>
      </c>
      <c r="F437" s="1">
        <f t="shared" si="7"/>
        <v>29510.13</v>
      </c>
      <c r="G437" s="11"/>
      <c r="J437" s="26"/>
      <c r="L437" s="1"/>
      <c r="Q437" s="23">
        <v>18</v>
      </c>
      <c r="R437" s="13" t="s">
        <v>43</v>
      </c>
    </row>
    <row r="438" spans="1:18" x14ac:dyDescent="0.25">
      <c r="A438" s="30">
        <v>1</v>
      </c>
      <c r="B438" s="26">
        <v>45926</v>
      </c>
      <c r="C438" s="2" t="s">
        <v>83</v>
      </c>
      <c r="D438" t="s">
        <v>445</v>
      </c>
      <c r="E438" s="1">
        <v>15</v>
      </c>
      <c r="F438" s="1">
        <f t="shared" si="7"/>
        <v>29525.13</v>
      </c>
      <c r="J438" s="26"/>
      <c r="L438" s="1"/>
      <c r="Q438" s="23">
        <v>19</v>
      </c>
      <c r="R438" s="13" t="s">
        <v>44</v>
      </c>
    </row>
    <row r="439" spans="1:18" x14ac:dyDescent="0.25">
      <c r="A439" s="30">
        <v>8</v>
      </c>
      <c r="B439" s="26">
        <v>45926</v>
      </c>
      <c r="C439" s="2" t="s">
        <v>80</v>
      </c>
      <c r="D439" t="s">
        <v>452</v>
      </c>
      <c r="E439" s="1">
        <v>15</v>
      </c>
      <c r="F439" s="1">
        <f t="shared" si="7"/>
        <v>29540.13</v>
      </c>
      <c r="J439" s="26"/>
      <c r="L439" s="1"/>
      <c r="Q439" s="23">
        <v>20</v>
      </c>
      <c r="R439" s="13" t="s">
        <v>45</v>
      </c>
    </row>
    <row r="440" spans="1:18" x14ac:dyDescent="0.25">
      <c r="A440" s="30">
        <v>15</v>
      </c>
      <c r="B440" s="26">
        <v>45926</v>
      </c>
      <c r="C440" s="2" t="s">
        <v>82</v>
      </c>
      <c r="D440" t="s">
        <v>116</v>
      </c>
      <c r="E440" s="1">
        <v>-612.5</v>
      </c>
      <c r="F440" s="1">
        <f t="shared" si="7"/>
        <v>28927.63</v>
      </c>
      <c r="G440">
        <v>67</v>
      </c>
      <c r="J440" s="26"/>
      <c r="L440" s="1"/>
      <c r="Q440" s="23">
        <v>21</v>
      </c>
      <c r="R440" s="13" t="s">
        <v>46</v>
      </c>
    </row>
    <row r="441" spans="1:18" x14ac:dyDescent="0.25">
      <c r="A441" s="30">
        <v>10</v>
      </c>
      <c r="B441" s="26">
        <v>45929</v>
      </c>
      <c r="C441" s="2" t="s">
        <v>9</v>
      </c>
      <c r="D441" t="s">
        <v>10</v>
      </c>
      <c r="E441" s="1">
        <v>-12.5</v>
      </c>
      <c r="F441" s="1">
        <f t="shared" si="7"/>
        <v>28915.13</v>
      </c>
      <c r="G441" t="s">
        <v>9</v>
      </c>
      <c r="J441" s="26"/>
      <c r="L441" s="1"/>
      <c r="Q441" s="23">
        <v>22</v>
      </c>
      <c r="R441" s="13" t="s">
        <v>47</v>
      </c>
    </row>
    <row r="442" spans="1:18" x14ac:dyDescent="0.25">
      <c r="A442" s="30">
        <v>11</v>
      </c>
      <c r="B442" s="26">
        <v>45929</v>
      </c>
      <c r="C442" s="2" t="s">
        <v>8</v>
      </c>
      <c r="D442" t="s">
        <v>12</v>
      </c>
      <c r="E442" s="1">
        <v>-62.77</v>
      </c>
      <c r="F442" s="1">
        <f t="shared" si="7"/>
        <v>28852.36</v>
      </c>
      <c r="G442" t="s">
        <v>8</v>
      </c>
      <c r="J442" s="26"/>
      <c r="L442" s="1"/>
      <c r="Q442" s="23">
        <v>23</v>
      </c>
      <c r="R442" s="13" t="s">
        <v>27</v>
      </c>
    </row>
    <row r="443" spans="1:18" x14ac:dyDescent="0.25">
      <c r="B443" s="26">
        <v>45930</v>
      </c>
      <c r="C443" s="2" t="s">
        <v>1</v>
      </c>
      <c r="D443" t="s">
        <v>455</v>
      </c>
      <c r="E443" s="1">
        <v>20000</v>
      </c>
      <c r="F443" s="1">
        <f t="shared" si="7"/>
        <v>48852.36</v>
      </c>
      <c r="J443" s="26"/>
      <c r="L443" s="1"/>
      <c r="Q443" s="23">
        <v>24</v>
      </c>
      <c r="R443" s="13" t="s">
        <v>28</v>
      </c>
    </row>
    <row r="444" spans="1:18" x14ac:dyDescent="0.25">
      <c r="A444" s="30">
        <v>23</v>
      </c>
      <c r="B444" s="26">
        <v>45931</v>
      </c>
      <c r="C444" s="2" t="s">
        <v>8</v>
      </c>
      <c r="D444" t="s">
        <v>456</v>
      </c>
      <c r="E444" s="1">
        <v>-29.34</v>
      </c>
      <c r="F444" s="1">
        <f t="shared" si="7"/>
        <v>48823.020000000004</v>
      </c>
      <c r="G444" t="s">
        <v>8</v>
      </c>
      <c r="J444" s="26"/>
      <c r="L444" s="1"/>
      <c r="Q444" s="70">
        <v>25</v>
      </c>
      <c r="R444" s="13" t="s">
        <v>49</v>
      </c>
    </row>
    <row r="445" spans="1:18" x14ac:dyDescent="0.25">
      <c r="A445" s="30">
        <v>14</v>
      </c>
      <c r="B445" s="26">
        <v>45931</v>
      </c>
      <c r="C445" s="2" t="s">
        <v>8</v>
      </c>
      <c r="D445" t="s">
        <v>431</v>
      </c>
      <c r="E445" s="1">
        <v>-143.44999999999999</v>
      </c>
      <c r="F445" s="1">
        <f t="shared" si="7"/>
        <v>48679.570000000007</v>
      </c>
      <c r="G445" t="s">
        <v>8</v>
      </c>
    </row>
    <row r="446" spans="1:18" x14ac:dyDescent="0.25">
      <c r="A446" s="30">
        <v>1</v>
      </c>
      <c r="B446" s="26">
        <v>45932</v>
      </c>
      <c r="C446" s="2" t="s">
        <v>83</v>
      </c>
      <c r="D446" t="s">
        <v>545</v>
      </c>
      <c r="E446" s="1">
        <v>105</v>
      </c>
      <c r="F446" s="1">
        <f t="shared" si="7"/>
        <v>48784.570000000007</v>
      </c>
    </row>
    <row r="447" spans="1:18" x14ac:dyDescent="0.25">
      <c r="A447" s="30">
        <v>8</v>
      </c>
      <c r="B447" s="26">
        <v>45932</v>
      </c>
      <c r="C447" s="2" t="s">
        <v>83</v>
      </c>
      <c r="D447" t="s">
        <v>458</v>
      </c>
      <c r="E447" s="1">
        <v>15</v>
      </c>
      <c r="F447" s="1">
        <f t="shared" si="7"/>
        <v>48799.570000000007</v>
      </c>
    </row>
    <row r="448" spans="1:18" x14ac:dyDescent="0.25">
      <c r="A448" s="30">
        <v>8</v>
      </c>
      <c r="B448" s="26">
        <v>45932</v>
      </c>
      <c r="C448" s="2" t="s">
        <v>83</v>
      </c>
      <c r="D448" t="s">
        <v>458</v>
      </c>
      <c r="E448" s="1">
        <v>10</v>
      </c>
      <c r="F448" s="1">
        <f t="shared" si="7"/>
        <v>48809.570000000007</v>
      </c>
    </row>
    <row r="449" spans="1:13" x14ac:dyDescent="0.25">
      <c r="B449" s="26">
        <v>45932</v>
      </c>
      <c r="C449" s="2" t="s">
        <v>1</v>
      </c>
      <c r="D449" t="s">
        <v>455</v>
      </c>
      <c r="E449" s="1">
        <v>-20000</v>
      </c>
      <c r="F449" s="1">
        <f t="shared" si="7"/>
        <v>28809.570000000007</v>
      </c>
    </row>
    <row r="450" spans="1:13" x14ac:dyDescent="0.25">
      <c r="A450" s="30">
        <v>19</v>
      </c>
      <c r="B450" s="26">
        <v>45932</v>
      </c>
      <c r="C450" s="2" t="s">
        <v>82</v>
      </c>
      <c r="D450" t="s">
        <v>459</v>
      </c>
      <c r="E450" s="1">
        <v>-110</v>
      </c>
      <c r="F450" s="1">
        <f t="shared" si="7"/>
        <v>28699.570000000007</v>
      </c>
      <c r="G450">
        <v>68</v>
      </c>
    </row>
    <row r="451" spans="1:13" x14ac:dyDescent="0.25">
      <c r="A451" s="30">
        <v>19</v>
      </c>
      <c r="B451" s="26">
        <v>45932</v>
      </c>
      <c r="C451" s="2" t="s">
        <v>82</v>
      </c>
      <c r="D451" t="s">
        <v>241</v>
      </c>
      <c r="E451" s="1">
        <v>-2250</v>
      </c>
      <c r="F451" s="1">
        <f t="shared" si="7"/>
        <v>26449.570000000007</v>
      </c>
      <c r="G451">
        <v>65</v>
      </c>
    </row>
    <row r="452" spans="1:13" x14ac:dyDescent="0.25">
      <c r="A452" s="30">
        <v>19</v>
      </c>
      <c r="B452" s="26">
        <v>45932</v>
      </c>
      <c r="C452" s="2" t="s">
        <v>82</v>
      </c>
      <c r="D452" t="s">
        <v>460</v>
      </c>
      <c r="E452" s="1">
        <v>-1110</v>
      </c>
      <c r="F452" s="1">
        <f t="shared" si="7"/>
        <v>25339.570000000007</v>
      </c>
      <c r="G452">
        <v>69</v>
      </c>
    </row>
    <row r="453" spans="1:13" x14ac:dyDescent="0.25">
      <c r="A453" s="30">
        <v>19</v>
      </c>
      <c r="B453" s="26">
        <v>45932</v>
      </c>
      <c r="C453" s="2" t="s">
        <v>82</v>
      </c>
      <c r="D453" t="s">
        <v>166</v>
      </c>
      <c r="E453" s="1">
        <v>-77.260000000000005</v>
      </c>
      <c r="F453" s="1">
        <f t="shared" si="7"/>
        <v>25262.310000000009</v>
      </c>
      <c r="G453">
        <v>70</v>
      </c>
    </row>
    <row r="454" spans="1:13" x14ac:dyDescent="0.25">
      <c r="A454" s="30">
        <v>1</v>
      </c>
      <c r="B454" s="26">
        <v>45933</v>
      </c>
      <c r="C454" s="2" t="s">
        <v>83</v>
      </c>
      <c r="D454" t="s">
        <v>445</v>
      </c>
      <c r="E454" s="1">
        <v>15</v>
      </c>
      <c r="F454" s="1">
        <f t="shared" si="7"/>
        <v>25277.310000000009</v>
      </c>
    </row>
    <row r="455" spans="1:13" x14ac:dyDescent="0.25">
      <c r="A455" s="30">
        <v>1</v>
      </c>
      <c r="B455" s="26">
        <v>45936</v>
      </c>
      <c r="C455" s="2" t="s">
        <v>83</v>
      </c>
      <c r="D455" t="s">
        <v>515</v>
      </c>
      <c r="E455" s="1">
        <v>40</v>
      </c>
      <c r="F455" s="1">
        <f t="shared" si="7"/>
        <v>25317.310000000009</v>
      </c>
      <c r="H455" t="s">
        <v>400</v>
      </c>
    </row>
    <row r="456" spans="1:13" x14ac:dyDescent="0.25">
      <c r="A456" s="30">
        <v>1</v>
      </c>
      <c r="B456" s="26">
        <v>45936</v>
      </c>
      <c r="C456" s="2" t="s">
        <v>83</v>
      </c>
      <c r="D456" t="s">
        <v>86</v>
      </c>
      <c r="E456" s="1">
        <v>300</v>
      </c>
      <c r="F456" s="1">
        <f t="shared" si="7"/>
        <v>25617.310000000009</v>
      </c>
    </row>
    <row r="457" spans="1:13" x14ac:dyDescent="0.25">
      <c r="A457" s="30">
        <v>1</v>
      </c>
      <c r="B457" s="26">
        <v>45936</v>
      </c>
      <c r="C457" s="2" t="s">
        <v>80</v>
      </c>
      <c r="D457" t="s">
        <v>90</v>
      </c>
      <c r="E457" s="1">
        <v>90</v>
      </c>
      <c r="F457" s="1">
        <f t="shared" si="7"/>
        <v>25707.310000000009</v>
      </c>
    </row>
    <row r="458" spans="1:13" x14ac:dyDescent="0.25">
      <c r="A458" s="30">
        <v>1</v>
      </c>
      <c r="B458" s="26">
        <v>45937</v>
      </c>
      <c r="C458" s="2" t="s">
        <v>83</v>
      </c>
      <c r="D458" t="s">
        <v>89</v>
      </c>
      <c r="E458" s="1">
        <v>115</v>
      </c>
      <c r="F458" s="1">
        <f t="shared" si="7"/>
        <v>25822.310000000009</v>
      </c>
    </row>
    <row r="459" spans="1:13" x14ac:dyDescent="0.25">
      <c r="A459" s="30">
        <v>1</v>
      </c>
      <c r="B459" s="26">
        <v>45940</v>
      </c>
      <c r="C459" s="2" t="s">
        <v>83</v>
      </c>
      <c r="D459" t="s">
        <v>445</v>
      </c>
      <c r="E459" s="1">
        <v>15</v>
      </c>
      <c r="F459" s="1">
        <f t="shared" si="7"/>
        <v>25837.310000000009</v>
      </c>
    </row>
    <row r="460" spans="1:13" x14ac:dyDescent="0.25">
      <c r="A460" s="30">
        <v>16</v>
      </c>
      <c r="B460" s="26">
        <v>45940</v>
      </c>
      <c r="C460" s="2" t="s">
        <v>8</v>
      </c>
      <c r="D460" t="s">
        <v>54</v>
      </c>
      <c r="E460" s="1">
        <v>-39.54</v>
      </c>
      <c r="F460" s="1">
        <f t="shared" si="7"/>
        <v>25797.770000000008</v>
      </c>
      <c r="G460" t="s">
        <v>8</v>
      </c>
    </row>
    <row r="461" spans="1:13" x14ac:dyDescent="0.25">
      <c r="A461" s="30">
        <v>1</v>
      </c>
      <c r="B461" s="26">
        <v>45943</v>
      </c>
      <c r="C461" s="2" t="s">
        <v>83</v>
      </c>
      <c r="D461" t="s">
        <v>433</v>
      </c>
      <c r="E461" s="1">
        <v>100</v>
      </c>
      <c r="F461" s="1">
        <f t="shared" si="7"/>
        <v>25897.770000000008</v>
      </c>
      <c r="H461" t="s">
        <v>400</v>
      </c>
    </row>
    <row r="462" spans="1:13" x14ac:dyDescent="0.25">
      <c r="A462" s="30">
        <v>8</v>
      </c>
      <c r="B462" s="26">
        <v>45944</v>
      </c>
      <c r="C462" s="2" t="s">
        <v>83</v>
      </c>
      <c r="D462" t="s">
        <v>98</v>
      </c>
      <c r="E462" s="1">
        <v>10</v>
      </c>
      <c r="F462" s="1">
        <f t="shared" si="7"/>
        <v>25907.770000000008</v>
      </c>
      <c r="I462" s="1"/>
      <c r="M462" s="26"/>
    </row>
    <row r="463" spans="1:13" x14ac:dyDescent="0.25">
      <c r="A463" s="30">
        <v>1</v>
      </c>
      <c r="B463" s="26">
        <v>45944</v>
      </c>
      <c r="C463" s="2" t="s">
        <v>80</v>
      </c>
      <c r="D463" t="s">
        <v>472</v>
      </c>
      <c r="E463" s="1">
        <v>45</v>
      </c>
      <c r="F463" s="1">
        <f t="shared" si="7"/>
        <v>25952.770000000008</v>
      </c>
      <c r="H463" t="s">
        <v>400</v>
      </c>
    </row>
    <row r="464" spans="1:13" x14ac:dyDescent="0.25">
      <c r="A464" s="30">
        <v>1</v>
      </c>
      <c r="B464" s="26">
        <v>45947</v>
      </c>
      <c r="C464" s="2" t="s">
        <v>83</v>
      </c>
      <c r="D464" t="s">
        <v>15</v>
      </c>
      <c r="E464" s="1">
        <v>750</v>
      </c>
      <c r="F464" s="1">
        <f t="shared" si="7"/>
        <v>26702.770000000008</v>
      </c>
    </row>
    <row r="465" spans="1:18" x14ac:dyDescent="0.25">
      <c r="A465" s="30">
        <v>1</v>
      </c>
      <c r="B465" s="26">
        <v>45947</v>
      </c>
      <c r="C465" s="2" t="s">
        <v>83</v>
      </c>
      <c r="D465" t="s">
        <v>445</v>
      </c>
      <c r="E465" s="1">
        <v>15</v>
      </c>
      <c r="F465" s="1">
        <f t="shared" si="7"/>
        <v>26717.770000000008</v>
      </c>
    </row>
    <row r="466" spans="1:18" x14ac:dyDescent="0.25">
      <c r="A466" s="30">
        <v>1</v>
      </c>
      <c r="B466" s="26">
        <v>45950</v>
      </c>
      <c r="C466" s="2" t="s">
        <v>83</v>
      </c>
      <c r="D466" t="s">
        <v>87</v>
      </c>
      <c r="E466" s="1">
        <v>60</v>
      </c>
      <c r="F466" s="1">
        <f t="shared" si="7"/>
        <v>26777.770000000008</v>
      </c>
    </row>
    <row r="467" spans="1:18" x14ac:dyDescent="0.25">
      <c r="A467" s="30">
        <v>16</v>
      </c>
      <c r="B467" s="26">
        <v>45952</v>
      </c>
      <c r="C467" s="2" t="s">
        <v>8</v>
      </c>
      <c r="D467" t="s">
        <v>160</v>
      </c>
      <c r="E467" s="1">
        <v>-12.04</v>
      </c>
      <c r="F467" s="1">
        <f t="shared" si="7"/>
        <v>26765.730000000007</v>
      </c>
      <c r="G467" t="s">
        <v>8</v>
      </c>
    </row>
    <row r="468" spans="1:18" x14ac:dyDescent="0.25">
      <c r="A468" s="30">
        <v>1</v>
      </c>
      <c r="B468" s="26">
        <v>45953</v>
      </c>
      <c r="C468" s="2" t="s">
        <v>83</v>
      </c>
      <c r="D468" t="s">
        <v>520</v>
      </c>
      <c r="E468" s="1">
        <v>50</v>
      </c>
      <c r="F468" s="1">
        <f t="shared" si="7"/>
        <v>26815.730000000007</v>
      </c>
    </row>
    <row r="469" spans="1:18" x14ac:dyDescent="0.25">
      <c r="A469" s="30">
        <v>1</v>
      </c>
      <c r="B469" s="26">
        <v>45953</v>
      </c>
      <c r="C469" s="2" t="s">
        <v>83</v>
      </c>
      <c r="D469" t="s">
        <v>445</v>
      </c>
      <c r="E469" s="1">
        <v>60</v>
      </c>
      <c r="F469" s="1">
        <f t="shared" si="7"/>
        <v>26875.730000000007</v>
      </c>
    </row>
    <row r="470" spans="1:18" x14ac:dyDescent="0.25">
      <c r="A470" s="30">
        <v>1</v>
      </c>
      <c r="B470" s="26">
        <v>45954</v>
      </c>
      <c r="C470" s="2" t="s">
        <v>83</v>
      </c>
      <c r="D470" t="s">
        <v>445</v>
      </c>
      <c r="E470" s="1">
        <v>15</v>
      </c>
      <c r="F470" s="1">
        <f t="shared" si="7"/>
        <v>26890.730000000007</v>
      </c>
    </row>
    <row r="471" spans="1:18" x14ac:dyDescent="0.25">
      <c r="A471" s="30">
        <v>1</v>
      </c>
      <c r="B471" s="26">
        <v>45957</v>
      </c>
      <c r="C471" s="2" t="s">
        <v>83</v>
      </c>
      <c r="D471" t="s">
        <v>473</v>
      </c>
      <c r="E471" s="1">
        <v>50</v>
      </c>
      <c r="F471" s="1">
        <f t="shared" si="7"/>
        <v>26940.730000000007</v>
      </c>
    </row>
    <row r="472" spans="1:18" x14ac:dyDescent="0.25">
      <c r="A472" s="30">
        <v>1</v>
      </c>
      <c r="B472" s="26">
        <v>45957</v>
      </c>
      <c r="C472" s="2" t="s">
        <v>83</v>
      </c>
      <c r="D472" t="s">
        <v>153</v>
      </c>
      <c r="E472" s="1">
        <v>135</v>
      </c>
      <c r="F472" s="1">
        <f t="shared" si="7"/>
        <v>27075.730000000007</v>
      </c>
    </row>
    <row r="473" spans="1:18" x14ac:dyDescent="0.25">
      <c r="A473" s="30">
        <v>1</v>
      </c>
      <c r="B473" s="26">
        <v>45957</v>
      </c>
      <c r="C473" s="2" t="s">
        <v>83</v>
      </c>
      <c r="D473" t="s">
        <v>198</v>
      </c>
      <c r="E473" s="1">
        <v>350</v>
      </c>
      <c r="F473" s="1">
        <f t="shared" si="7"/>
        <v>27425.730000000007</v>
      </c>
      <c r="K473" t="s">
        <v>482</v>
      </c>
    </row>
    <row r="474" spans="1:18" x14ac:dyDescent="0.25">
      <c r="A474" s="30">
        <v>16</v>
      </c>
      <c r="B474" s="26">
        <v>45957</v>
      </c>
      <c r="C474" s="2" t="s">
        <v>82</v>
      </c>
      <c r="D474" t="s">
        <v>461</v>
      </c>
      <c r="E474" s="1">
        <v>-19.2</v>
      </c>
      <c r="F474" s="1">
        <f t="shared" si="7"/>
        <v>27406.530000000006</v>
      </c>
      <c r="G474">
        <v>71</v>
      </c>
      <c r="J474">
        <v>40</v>
      </c>
      <c r="K474" t="s">
        <v>483</v>
      </c>
    </row>
    <row r="475" spans="1:18" x14ac:dyDescent="0.25">
      <c r="A475" s="30">
        <v>19</v>
      </c>
      <c r="B475" s="26">
        <v>45957</v>
      </c>
      <c r="C475" s="2" t="s">
        <v>82</v>
      </c>
      <c r="D475" t="s">
        <v>474</v>
      </c>
      <c r="E475" s="1">
        <v>-24.99</v>
      </c>
      <c r="F475" s="1">
        <f t="shared" si="7"/>
        <v>27381.540000000005</v>
      </c>
      <c r="G475">
        <v>72</v>
      </c>
      <c r="J475">
        <v>3.5</v>
      </c>
      <c r="K475" t="s">
        <v>115</v>
      </c>
      <c r="N475" t="s">
        <v>77</v>
      </c>
    </row>
    <row r="476" spans="1:18" x14ac:dyDescent="0.25">
      <c r="A476" s="30">
        <v>15</v>
      </c>
      <c r="B476" s="26">
        <v>45957</v>
      </c>
      <c r="C476" s="2" t="s">
        <v>82</v>
      </c>
      <c r="D476" t="s">
        <v>475</v>
      </c>
      <c r="E476" s="1">
        <v>-612.5</v>
      </c>
      <c r="F476" s="1">
        <f t="shared" si="7"/>
        <v>26769.040000000005</v>
      </c>
      <c r="G476">
        <v>73</v>
      </c>
      <c r="J476">
        <v>12.79</v>
      </c>
      <c r="N476" s="23">
        <v>1</v>
      </c>
      <c r="O476" s="13" t="s">
        <v>17</v>
      </c>
    </row>
    <row r="477" spans="1:18" x14ac:dyDescent="0.25">
      <c r="A477" s="30">
        <v>11</v>
      </c>
      <c r="B477" s="26">
        <v>45957</v>
      </c>
      <c r="C477" s="2" t="s">
        <v>8</v>
      </c>
      <c r="D477" t="s">
        <v>12</v>
      </c>
      <c r="E477" s="1">
        <v>-222.01</v>
      </c>
      <c r="F477" s="1">
        <f t="shared" ref="F477:F536" si="8">F476+E477</f>
        <v>26547.030000000006</v>
      </c>
      <c r="G477" t="s">
        <v>8</v>
      </c>
      <c r="J477">
        <f>SUM(J474:J476)</f>
        <v>56.29</v>
      </c>
      <c r="N477" s="23">
        <v>2</v>
      </c>
      <c r="O477" s="13" t="s">
        <v>16</v>
      </c>
      <c r="Q477" s="70">
        <v>25</v>
      </c>
      <c r="R477" s="13" t="s">
        <v>49</v>
      </c>
    </row>
    <row r="478" spans="1:18" x14ac:dyDescent="0.25">
      <c r="A478" s="30">
        <v>13</v>
      </c>
      <c r="B478" s="26">
        <v>45961</v>
      </c>
      <c r="C478" s="2" t="s">
        <v>8</v>
      </c>
      <c r="D478" t="s">
        <v>380</v>
      </c>
      <c r="E478" s="1">
        <v>-248.28</v>
      </c>
      <c r="F478" s="1">
        <f t="shared" si="8"/>
        <v>26298.750000000007</v>
      </c>
      <c r="G478" t="s">
        <v>8</v>
      </c>
      <c r="N478" s="23">
        <v>3</v>
      </c>
      <c r="O478" s="13" t="s">
        <v>19</v>
      </c>
    </row>
    <row r="479" spans="1:18" x14ac:dyDescent="0.25">
      <c r="A479" s="30">
        <v>1</v>
      </c>
      <c r="B479" s="26">
        <v>45964</v>
      </c>
      <c r="C479" s="2" t="s">
        <v>83</v>
      </c>
      <c r="D479" t="s">
        <v>476</v>
      </c>
      <c r="E479" s="1">
        <v>50</v>
      </c>
      <c r="F479" s="1">
        <f t="shared" si="8"/>
        <v>26348.750000000007</v>
      </c>
      <c r="H479" t="s">
        <v>400</v>
      </c>
      <c r="N479" s="23">
        <v>4</v>
      </c>
      <c r="O479" s="13" t="s">
        <v>22</v>
      </c>
    </row>
    <row r="480" spans="1:18" x14ac:dyDescent="0.25">
      <c r="A480" s="30">
        <v>1</v>
      </c>
      <c r="B480" s="26">
        <v>45964</v>
      </c>
      <c r="C480" s="2" t="s">
        <v>83</v>
      </c>
      <c r="D480" t="s">
        <v>545</v>
      </c>
      <c r="E480" s="1">
        <v>100</v>
      </c>
      <c r="F480" s="1">
        <f t="shared" si="8"/>
        <v>26448.750000000007</v>
      </c>
      <c r="N480" s="23">
        <v>5</v>
      </c>
      <c r="O480" s="13" t="s">
        <v>36</v>
      </c>
    </row>
    <row r="481" spans="1:24" x14ac:dyDescent="0.25">
      <c r="A481" s="30">
        <v>1</v>
      </c>
      <c r="B481" s="26">
        <v>45964</v>
      </c>
      <c r="C481" s="2" t="s">
        <v>83</v>
      </c>
      <c r="D481" t="s">
        <v>477</v>
      </c>
      <c r="E481" s="1">
        <v>85</v>
      </c>
      <c r="F481" s="1">
        <f t="shared" si="8"/>
        <v>26533.750000000007</v>
      </c>
      <c r="H481" t="s">
        <v>400</v>
      </c>
      <c r="N481" s="23">
        <v>6</v>
      </c>
      <c r="O481" s="13" t="s">
        <v>24</v>
      </c>
    </row>
    <row r="482" spans="1:24" x14ac:dyDescent="0.25">
      <c r="A482" s="30">
        <v>1</v>
      </c>
      <c r="B482" s="26">
        <v>45964</v>
      </c>
      <c r="C482" s="2" t="s">
        <v>80</v>
      </c>
      <c r="D482" t="s">
        <v>253</v>
      </c>
      <c r="E482" s="1">
        <v>75</v>
      </c>
      <c r="F482" s="1">
        <f t="shared" si="8"/>
        <v>26608.750000000007</v>
      </c>
      <c r="N482" s="23">
        <v>7</v>
      </c>
      <c r="O482" s="13" t="s">
        <v>20</v>
      </c>
    </row>
    <row r="483" spans="1:24" x14ac:dyDescent="0.25">
      <c r="A483" s="30">
        <v>1</v>
      </c>
      <c r="B483" s="26">
        <v>45964</v>
      </c>
      <c r="C483" s="2" t="s">
        <v>80</v>
      </c>
      <c r="D483" t="s">
        <v>90</v>
      </c>
      <c r="E483" s="1">
        <v>90</v>
      </c>
      <c r="F483" s="1">
        <f t="shared" si="8"/>
        <v>26698.750000000007</v>
      </c>
      <c r="N483" s="23">
        <v>8</v>
      </c>
      <c r="O483" s="13" t="s">
        <v>242</v>
      </c>
    </row>
    <row r="484" spans="1:24" ht="15.75" x14ac:dyDescent="0.25">
      <c r="A484" s="30">
        <v>23</v>
      </c>
      <c r="B484" s="26">
        <v>45964</v>
      </c>
      <c r="C484" s="2" t="s">
        <v>8</v>
      </c>
      <c r="D484" t="s">
        <v>254</v>
      </c>
      <c r="E484" s="1">
        <v>-29.34</v>
      </c>
      <c r="F484" s="1">
        <f t="shared" si="8"/>
        <v>26669.410000000007</v>
      </c>
      <c r="G484" t="s">
        <v>8</v>
      </c>
      <c r="K484" s="64" t="s">
        <v>270</v>
      </c>
      <c r="N484" s="23">
        <v>10</v>
      </c>
      <c r="O484" s="13" t="s">
        <v>37</v>
      </c>
    </row>
    <row r="485" spans="1:24" ht="15.75" x14ac:dyDescent="0.25">
      <c r="A485" s="30">
        <v>16</v>
      </c>
      <c r="B485" s="26">
        <v>45971</v>
      </c>
      <c r="C485" s="2" t="s">
        <v>8</v>
      </c>
      <c r="D485" t="s">
        <v>54</v>
      </c>
      <c r="E485" s="1">
        <v>-39.54</v>
      </c>
      <c r="F485" s="1">
        <f t="shared" si="8"/>
        <v>26629.870000000006</v>
      </c>
      <c r="G485" t="s">
        <v>8</v>
      </c>
      <c r="K485" s="64" t="s">
        <v>271</v>
      </c>
      <c r="N485" s="23">
        <v>11</v>
      </c>
      <c r="O485" s="13" t="s">
        <v>38</v>
      </c>
      <c r="S485" s="30"/>
      <c r="T485" s="26"/>
      <c r="U485" s="2"/>
      <c r="W485" s="1"/>
      <c r="X485" s="1"/>
    </row>
    <row r="486" spans="1:24" ht="15.75" x14ac:dyDescent="0.25">
      <c r="A486" s="30">
        <v>1</v>
      </c>
      <c r="B486" s="26">
        <v>45971</v>
      </c>
      <c r="C486" s="2" t="s">
        <v>83</v>
      </c>
      <c r="D486" t="s">
        <v>445</v>
      </c>
      <c r="E486" s="1">
        <v>15</v>
      </c>
      <c r="F486" s="1">
        <f t="shared" si="8"/>
        <v>26644.870000000006</v>
      </c>
      <c r="K486" s="64" t="s">
        <v>272</v>
      </c>
      <c r="N486" s="23">
        <v>12</v>
      </c>
      <c r="O486" s="13" t="s">
        <v>13</v>
      </c>
      <c r="S486" s="30"/>
      <c r="T486" s="26"/>
      <c r="U486" s="2"/>
      <c r="W486" s="1"/>
      <c r="X486" s="1"/>
    </row>
    <row r="487" spans="1:24" ht="15.75" x14ac:dyDescent="0.25">
      <c r="A487" s="30">
        <v>8</v>
      </c>
      <c r="B487" s="26">
        <v>45971</v>
      </c>
      <c r="C487" s="2" t="s">
        <v>83</v>
      </c>
      <c r="D487" t="s">
        <v>478</v>
      </c>
      <c r="E487" s="1">
        <v>15</v>
      </c>
      <c r="F487" s="1">
        <f t="shared" si="8"/>
        <v>26659.870000000006</v>
      </c>
      <c r="K487" s="64" t="s">
        <v>273</v>
      </c>
      <c r="N487" s="23">
        <v>13</v>
      </c>
      <c r="O487" s="13" t="s">
        <v>39</v>
      </c>
      <c r="S487" s="30"/>
      <c r="T487" s="26"/>
      <c r="U487" s="2"/>
      <c r="W487" s="1"/>
      <c r="X487" s="1"/>
    </row>
    <row r="488" spans="1:24" x14ac:dyDescent="0.25">
      <c r="A488" s="30">
        <v>1</v>
      </c>
      <c r="B488" s="26">
        <v>45971</v>
      </c>
      <c r="C488" s="2" t="s">
        <v>83</v>
      </c>
      <c r="D488" t="s">
        <v>479</v>
      </c>
      <c r="E488" s="1">
        <v>85</v>
      </c>
      <c r="F488" s="1">
        <f t="shared" si="8"/>
        <v>26744.870000000006</v>
      </c>
      <c r="H488" t="s">
        <v>400</v>
      </c>
      <c r="K488" t="s">
        <v>275</v>
      </c>
      <c r="N488" s="23">
        <v>14</v>
      </c>
      <c r="O488" s="13" t="s">
        <v>40</v>
      </c>
      <c r="S488" s="30"/>
      <c r="T488" s="26"/>
      <c r="U488" s="2"/>
      <c r="W488" s="1"/>
      <c r="X488" s="1"/>
    </row>
    <row r="489" spans="1:24" ht="15.75" x14ac:dyDescent="0.25">
      <c r="A489" s="30">
        <v>1</v>
      </c>
      <c r="B489" s="26">
        <v>45971</v>
      </c>
      <c r="C489" s="2" t="s">
        <v>83</v>
      </c>
      <c r="D489" t="s">
        <v>87</v>
      </c>
      <c r="E489" s="1">
        <v>45</v>
      </c>
      <c r="F489" s="1">
        <f t="shared" si="8"/>
        <v>26789.870000000006</v>
      </c>
      <c r="K489" s="64">
        <v>7877477022</v>
      </c>
      <c r="N489" s="23">
        <v>15</v>
      </c>
      <c r="O489" s="13" t="s">
        <v>23</v>
      </c>
      <c r="S489" s="30"/>
      <c r="T489" s="26"/>
      <c r="U489" s="2"/>
      <c r="W489" s="1"/>
      <c r="X489" s="1"/>
    </row>
    <row r="490" spans="1:24" ht="15.75" x14ac:dyDescent="0.25">
      <c r="A490" s="30">
        <v>1</v>
      </c>
      <c r="B490" s="26">
        <v>45971</v>
      </c>
      <c r="C490" s="2" t="s">
        <v>83</v>
      </c>
      <c r="D490" t="s">
        <v>480</v>
      </c>
      <c r="E490" s="1">
        <v>55</v>
      </c>
      <c r="F490" s="1">
        <f t="shared" si="8"/>
        <v>26844.870000000006</v>
      </c>
      <c r="H490" t="s">
        <v>400</v>
      </c>
      <c r="K490" s="64" t="s">
        <v>274</v>
      </c>
      <c r="N490" s="23">
        <v>16</v>
      </c>
      <c r="O490" s="13" t="s">
        <v>149</v>
      </c>
      <c r="S490" s="30"/>
      <c r="T490" s="26"/>
      <c r="U490" s="2"/>
      <c r="W490" s="1"/>
      <c r="X490" s="1"/>
    </row>
    <row r="491" spans="1:24" x14ac:dyDescent="0.25">
      <c r="A491" s="30">
        <v>1</v>
      </c>
      <c r="B491" s="26">
        <v>45971</v>
      </c>
      <c r="C491" s="2" t="s">
        <v>120</v>
      </c>
      <c r="D491" t="s">
        <v>481</v>
      </c>
      <c r="E491" s="1">
        <v>110</v>
      </c>
      <c r="F491" s="1">
        <f t="shared" si="8"/>
        <v>26954.870000000006</v>
      </c>
      <c r="N491" s="23">
        <v>17</v>
      </c>
      <c r="O491" s="13" t="s">
        <v>42</v>
      </c>
      <c r="S491" s="30"/>
      <c r="T491" s="26"/>
      <c r="U491" s="2"/>
      <c r="W491" s="1"/>
      <c r="X491" s="1"/>
    </row>
    <row r="492" spans="1:24" x14ac:dyDescent="0.25">
      <c r="A492" s="30">
        <v>1</v>
      </c>
      <c r="B492" s="26">
        <v>45972</v>
      </c>
      <c r="C492" s="2" t="s">
        <v>83</v>
      </c>
      <c r="D492" t="s">
        <v>546</v>
      </c>
      <c r="E492" s="1">
        <v>30</v>
      </c>
      <c r="F492" s="1">
        <f t="shared" si="8"/>
        <v>26984.870000000006</v>
      </c>
      <c r="G492" t="s">
        <v>51</v>
      </c>
      <c r="N492" s="23">
        <v>18</v>
      </c>
      <c r="O492" s="13" t="s">
        <v>43</v>
      </c>
      <c r="S492" s="30"/>
      <c r="T492" s="26"/>
      <c r="U492" s="2"/>
      <c r="W492" s="1"/>
      <c r="X492" s="1"/>
    </row>
    <row r="493" spans="1:24" x14ac:dyDescent="0.25">
      <c r="A493" s="30">
        <v>1</v>
      </c>
      <c r="B493" s="26">
        <v>45972</v>
      </c>
      <c r="C493" s="2" t="s">
        <v>83</v>
      </c>
      <c r="D493" t="s">
        <v>15</v>
      </c>
      <c r="E493" s="1">
        <v>550</v>
      </c>
      <c r="F493" s="1">
        <f t="shared" si="8"/>
        <v>27534.870000000006</v>
      </c>
      <c r="N493" s="23">
        <v>19</v>
      </c>
      <c r="O493" s="13" t="s">
        <v>44</v>
      </c>
      <c r="S493" s="30"/>
      <c r="T493" s="26"/>
      <c r="U493" s="2"/>
      <c r="W493" s="1"/>
      <c r="X493" s="1"/>
    </row>
    <row r="494" spans="1:24" x14ac:dyDescent="0.25">
      <c r="A494" s="30">
        <v>1</v>
      </c>
      <c r="B494" s="26">
        <v>45972</v>
      </c>
      <c r="C494" s="2" t="s">
        <v>80</v>
      </c>
      <c r="D494" t="s">
        <v>516</v>
      </c>
      <c r="E494" s="1">
        <v>40</v>
      </c>
      <c r="F494" s="1">
        <f t="shared" si="8"/>
        <v>27574.870000000006</v>
      </c>
      <c r="H494" t="s">
        <v>400</v>
      </c>
      <c r="N494" s="23">
        <v>20</v>
      </c>
      <c r="O494" s="13" t="s">
        <v>45</v>
      </c>
      <c r="S494" s="30"/>
      <c r="T494" s="26"/>
      <c r="U494" s="2"/>
      <c r="W494" s="1"/>
      <c r="X494" s="1"/>
    </row>
    <row r="495" spans="1:24" x14ac:dyDescent="0.25">
      <c r="A495" s="30">
        <v>20</v>
      </c>
      <c r="B495" s="26">
        <v>45972</v>
      </c>
      <c r="C495" s="2" t="s">
        <v>82</v>
      </c>
      <c r="D495" t="s">
        <v>99</v>
      </c>
      <c r="E495" s="1">
        <v>-169.97</v>
      </c>
      <c r="F495" s="1">
        <f t="shared" si="8"/>
        <v>27404.900000000005</v>
      </c>
      <c r="G495">
        <v>74</v>
      </c>
      <c r="N495" s="23">
        <v>21</v>
      </c>
      <c r="O495" s="13" t="s">
        <v>46</v>
      </c>
    </row>
    <row r="496" spans="1:24" x14ac:dyDescent="0.25">
      <c r="A496" s="30">
        <v>8</v>
      </c>
      <c r="B496" s="26">
        <v>45974</v>
      </c>
      <c r="C496" s="2" t="s">
        <v>83</v>
      </c>
      <c r="D496" t="s">
        <v>489</v>
      </c>
      <c r="E496" s="1">
        <v>5</v>
      </c>
      <c r="F496" s="1">
        <f t="shared" si="8"/>
        <v>27409.900000000005</v>
      </c>
      <c r="N496" s="23">
        <v>22</v>
      </c>
      <c r="O496" s="13" t="s">
        <v>47</v>
      </c>
    </row>
    <row r="497" spans="1:15" x14ac:dyDescent="0.25">
      <c r="A497" s="30">
        <v>19</v>
      </c>
      <c r="B497" s="26">
        <v>45974</v>
      </c>
      <c r="C497" s="2" t="s">
        <v>82</v>
      </c>
      <c r="D497" t="s">
        <v>484</v>
      </c>
      <c r="E497" s="1">
        <v>-16.29</v>
      </c>
      <c r="F497" s="1">
        <f t="shared" si="8"/>
        <v>27393.610000000004</v>
      </c>
      <c r="G497">
        <v>75</v>
      </c>
      <c r="N497" s="23">
        <v>23</v>
      </c>
      <c r="O497" s="13" t="s">
        <v>27</v>
      </c>
    </row>
    <row r="498" spans="1:15" x14ac:dyDescent="0.25">
      <c r="A498" s="30">
        <v>25</v>
      </c>
      <c r="B498" s="26">
        <v>45974</v>
      </c>
      <c r="C498" s="2" t="s">
        <v>82</v>
      </c>
      <c r="D498" t="s">
        <v>484</v>
      </c>
      <c r="E498" s="1">
        <v>-40</v>
      </c>
      <c r="F498" s="1">
        <f t="shared" si="8"/>
        <v>27353.610000000004</v>
      </c>
      <c r="G498">
        <v>76</v>
      </c>
      <c r="N498" s="23">
        <v>24</v>
      </c>
      <c r="O498" s="13" t="s">
        <v>28</v>
      </c>
    </row>
    <row r="499" spans="1:15" x14ac:dyDescent="0.25">
      <c r="A499" s="30">
        <v>1</v>
      </c>
      <c r="B499" s="26">
        <v>45975</v>
      </c>
      <c r="C499" s="2" t="s">
        <v>83</v>
      </c>
      <c r="D499" t="s">
        <v>86</v>
      </c>
      <c r="E499" s="1">
        <v>340</v>
      </c>
      <c r="F499" s="1">
        <f t="shared" si="8"/>
        <v>27693.610000000004</v>
      </c>
      <c r="N499" s="23"/>
      <c r="O499" s="13"/>
    </row>
    <row r="500" spans="1:15" x14ac:dyDescent="0.25">
      <c r="A500" s="30">
        <v>1</v>
      </c>
      <c r="B500" s="26">
        <v>45975</v>
      </c>
      <c r="C500" s="2" t="s">
        <v>83</v>
      </c>
      <c r="D500" t="s">
        <v>445</v>
      </c>
      <c r="E500" s="1">
        <v>15</v>
      </c>
      <c r="F500" s="1">
        <f t="shared" si="8"/>
        <v>27708.610000000004</v>
      </c>
      <c r="N500" s="23">
        <v>25</v>
      </c>
      <c r="O500" s="13" t="s">
        <v>49</v>
      </c>
    </row>
    <row r="501" spans="1:15" x14ac:dyDescent="0.25">
      <c r="A501" s="30">
        <v>19</v>
      </c>
      <c r="B501" s="26">
        <v>45975</v>
      </c>
      <c r="C501" s="2" t="s">
        <v>82</v>
      </c>
      <c r="D501" t="s">
        <v>485</v>
      </c>
      <c r="E501" s="1">
        <v>-475</v>
      </c>
      <c r="F501" s="1">
        <f t="shared" si="8"/>
        <v>27233.610000000004</v>
      </c>
      <c r="G501">
        <v>77</v>
      </c>
      <c r="I501" t="s">
        <v>51</v>
      </c>
    </row>
    <row r="502" spans="1:15" x14ac:dyDescent="0.25">
      <c r="A502" s="30">
        <v>8</v>
      </c>
      <c r="B502" s="26">
        <v>45978</v>
      </c>
      <c r="C502" s="2" t="s">
        <v>83</v>
      </c>
      <c r="D502" t="s">
        <v>494</v>
      </c>
      <c r="E502" s="1">
        <v>5</v>
      </c>
      <c r="F502" s="1">
        <f t="shared" si="8"/>
        <v>27238.610000000004</v>
      </c>
    </row>
    <row r="503" spans="1:15" x14ac:dyDescent="0.25">
      <c r="A503" s="30">
        <v>8</v>
      </c>
      <c r="B503" s="26">
        <v>45978</v>
      </c>
      <c r="C503" s="2" t="s">
        <v>83</v>
      </c>
      <c r="D503" t="s">
        <v>495</v>
      </c>
      <c r="E503" s="1">
        <v>5</v>
      </c>
      <c r="F503" s="1">
        <f t="shared" si="8"/>
        <v>27243.610000000004</v>
      </c>
      <c r="J503">
        <f>16.29-3.5</f>
        <v>12.79</v>
      </c>
    </row>
    <row r="504" spans="1:15" x14ac:dyDescent="0.25">
      <c r="A504" s="30">
        <v>8</v>
      </c>
      <c r="B504" s="26">
        <v>45978</v>
      </c>
      <c r="C504" s="2" t="s">
        <v>80</v>
      </c>
      <c r="D504" t="s">
        <v>488</v>
      </c>
      <c r="E504" s="1">
        <v>5</v>
      </c>
      <c r="F504" s="1">
        <f t="shared" si="8"/>
        <v>27248.610000000004</v>
      </c>
    </row>
    <row r="505" spans="1:15" x14ac:dyDescent="0.25">
      <c r="A505" s="30">
        <v>14</v>
      </c>
      <c r="B505" s="26">
        <v>45978</v>
      </c>
      <c r="C505" s="2" t="s">
        <v>8</v>
      </c>
      <c r="D505" t="s">
        <v>486</v>
      </c>
      <c r="E505" s="1">
        <v>-162.06</v>
      </c>
      <c r="F505" s="1">
        <f t="shared" si="8"/>
        <v>27086.550000000003</v>
      </c>
      <c r="G505" t="s">
        <v>8</v>
      </c>
    </row>
    <row r="506" spans="1:15" x14ac:dyDescent="0.25">
      <c r="A506" s="30">
        <v>8</v>
      </c>
      <c r="B506" s="26">
        <v>45979</v>
      </c>
      <c r="C506" s="2" t="s">
        <v>83</v>
      </c>
      <c r="D506" t="s">
        <v>493</v>
      </c>
      <c r="E506" s="1">
        <v>5</v>
      </c>
      <c r="F506" s="1">
        <f t="shared" si="8"/>
        <v>27091.550000000003</v>
      </c>
    </row>
    <row r="507" spans="1:15" x14ac:dyDescent="0.25">
      <c r="A507" s="30">
        <v>8</v>
      </c>
      <c r="B507" s="26">
        <v>45979</v>
      </c>
      <c r="C507" s="2" t="s">
        <v>83</v>
      </c>
      <c r="D507" t="s">
        <v>487</v>
      </c>
      <c r="E507" s="1">
        <v>5</v>
      </c>
      <c r="F507" s="1">
        <f t="shared" si="8"/>
        <v>27096.550000000003</v>
      </c>
      <c r="G507" t="s">
        <v>119</v>
      </c>
    </row>
    <row r="508" spans="1:15" x14ac:dyDescent="0.25">
      <c r="A508" s="30">
        <v>8</v>
      </c>
      <c r="B508" s="26">
        <v>45979</v>
      </c>
      <c r="C508" s="2" t="s">
        <v>83</v>
      </c>
      <c r="D508" t="s">
        <v>490</v>
      </c>
      <c r="E508" s="1">
        <v>10</v>
      </c>
      <c r="F508" s="1">
        <f t="shared" si="8"/>
        <v>27106.550000000003</v>
      </c>
    </row>
    <row r="509" spans="1:15" x14ac:dyDescent="0.25">
      <c r="A509" s="30">
        <v>8</v>
      </c>
      <c r="B509" s="26">
        <v>45979</v>
      </c>
      <c r="C509" s="2" t="s">
        <v>80</v>
      </c>
      <c r="D509" t="s">
        <v>491</v>
      </c>
      <c r="E509" s="1">
        <v>5</v>
      </c>
      <c r="F509" s="1">
        <f t="shared" si="8"/>
        <v>27111.550000000003</v>
      </c>
      <c r="G509" t="s">
        <v>119</v>
      </c>
    </row>
    <row r="510" spans="1:15" x14ac:dyDescent="0.25">
      <c r="A510" s="30">
        <v>8</v>
      </c>
      <c r="B510" s="26">
        <v>45980</v>
      </c>
      <c r="C510" s="2" t="s">
        <v>83</v>
      </c>
      <c r="D510" t="s">
        <v>492</v>
      </c>
      <c r="E510" s="1">
        <v>5</v>
      </c>
      <c r="F510" s="1">
        <f t="shared" si="8"/>
        <v>27116.550000000003</v>
      </c>
      <c r="G510" t="s">
        <v>119</v>
      </c>
    </row>
    <row r="511" spans="1:15" x14ac:dyDescent="0.25">
      <c r="A511" s="30">
        <v>8</v>
      </c>
      <c r="B511" s="26">
        <v>45980</v>
      </c>
      <c r="C511" s="2" t="s">
        <v>83</v>
      </c>
      <c r="D511" t="s">
        <v>496</v>
      </c>
      <c r="E511" s="1">
        <v>5</v>
      </c>
      <c r="F511" s="1">
        <f t="shared" si="8"/>
        <v>27121.550000000003</v>
      </c>
    </row>
    <row r="512" spans="1:15" x14ac:dyDescent="0.25">
      <c r="A512" s="30">
        <v>8</v>
      </c>
      <c r="B512" s="26">
        <v>45980</v>
      </c>
      <c r="C512" s="2" t="s">
        <v>83</v>
      </c>
      <c r="D512" t="s">
        <v>498</v>
      </c>
      <c r="E512" s="1">
        <v>5</v>
      </c>
      <c r="F512" s="1">
        <f t="shared" si="8"/>
        <v>27126.550000000003</v>
      </c>
    </row>
    <row r="513" spans="1:8" x14ac:dyDescent="0.25">
      <c r="A513" s="30">
        <v>8</v>
      </c>
      <c r="B513" s="26">
        <v>45980</v>
      </c>
      <c r="C513" s="2" t="s">
        <v>83</v>
      </c>
      <c r="D513" t="s">
        <v>497</v>
      </c>
      <c r="E513" s="1">
        <v>20</v>
      </c>
      <c r="F513" s="1">
        <f t="shared" si="8"/>
        <v>27146.550000000003</v>
      </c>
    </row>
    <row r="514" spans="1:8" x14ac:dyDescent="0.25">
      <c r="A514" s="30">
        <v>1</v>
      </c>
      <c r="B514" s="26">
        <v>45981</v>
      </c>
      <c r="C514" s="2" t="s">
        <v>83</v>
      </c>
      <c r="D514" t="s">
        <v>153</v>
      </c>
      <c r="E514" s="1">
        <v>90</v>
      </c>
      <c r="F514" s="1">
        <f t="shared" si="8"/>
        <v>27236.550000000003</v>
      </c>
    </row>
    <row r="515" spans="1:8" x14ac:dyDescent="0.25">
      <c r="A515" s="30">
        <v>1</v>
      </c>
      <c r="B515" s="26">
        <v>45981</v>
      </c>
      <c r="C515" s="2" t="s">
        <v>80</v>
      </c>
      <c r="D515" t="s">
        <v>123</v>
      </c>
      <c r="E515" s="1">
        <v>37.5</v>
      </c>
      <c r="F515" s="1">
        <f t="shared" si="8"/>
        <v>27274.050000000003</v>
      </c>
    </row>
    <row r="516" spans="1:8" x14ac:dyDescent="0.25">
      <c r="A516" s="30">
        <v>1</v>
      </c>
      <c r="B516" s="26">
        <v>45982</v>
      </c>
      <c r="C516" s="2" t="s">
        <v>503</v>
      </c>
      <c r="D516" t="s">
        <v>481</v>
      </c>
      <c r="E516" s="1">
        <v>30</v>
      </c>
      <c r="F516" s="1">
        <f t="shared" si="8"/>
        <v>27304.050000000003</v>
      </c>
    </row>
    <row r="517" spans="1:8" x14ac:dyDescent="0.25">
      <c r="A517" s="30">
        <v>8</v>
      </c>
      <c r="B517" s="26">
        <v>45982</v>
      </c>
      <c r="C517" s="2" t="s">
        <v>83</v>
      </c>
      <c r="D517" t="s">
        <v>505</v>
      </c>
      <c r="E517" s="1">
        <v>5</v>
      </c>
      <c r="F517" s="1">
        <f t="shared" si="8"/>
        <v>27309.050000000003</v>
      </c>
    </row>
    <row r="518" spans="1:8" x14ac:dyDescent="0.25">
      <c r="A518" s="30">
        <v>8</v>
      </c>
      <c r="B518" s="26">
        <v>45982</v>
      </c>
      <c r="C518" s="2" t="s">
        <v>83</v>
      </c>
      <c r="D518" t="s">
        <v>502</v>
      </c>
      <c r="E518" s="1">
        <v>5</v>
      </c>
      <c r="F518" s="1">
        <f t="shared" si="8"/>
        <v>27314.050000000003</v>
      </c>
    </row>
    <row r="519" spans="1:8" x14ac:dyDescent="0.25">
      <c r="A519" s="30">
        <v>8</v>
      </c>
      <c r="B519" s="26">
        <v>45982</v>
      </c>
      <c r="C519" s="2" t="s">
        <v>83</v>
      </c>
      <c r="D519" t="s">
        <v>501</v>
      </c>
      <c r="E519" s="1">
        <v>5</v>
      </c>
      <c r="F519" s="1">
        <f t="shared" si="8"/>
        <v>27319.050000000003</v>
      </c>
    </row>
    <row r="520" spans="1:8" x14ac:dyDescent="0.25">
      <c r="A520" s="30">
        <v>8</v>
      </c>
      <c r="B520" s="26">
        <v>45982</v>
      </c>
      <c r="C520" s="2" t="s">
        <v>83</v>
      </c>
      <c r="D520" t="s">
        <v>506</v>
      </c>
      <c r="E520" s="1">
        <v>5</v>
      </c>
      <c r="F520" s="1">
        <f t="shared" si="8"/>
        <v>27324.050000000003</v>
      </c>
    </row>
    <row r="521" spans="1:8" x14ac:dyDescent="0.25">
      <c r="A521" s="30">
        <v>1</v>
      </c>
      <c r="B521" s="26">
        <v>45982</v>
      </c>
      <c r="C521" s="2" t="s">
        <v>80</v>
      </c>
      <c r="D521" t="s">
        <v>445</v>
      </c>
      <c r="E521" s="1">
        <v>15</v>
      </c>
      <c r="F521" s="1">
        <f t="shared" si="8"/>
        <v>27339.050000000003</v>
      </c>
    </row>
    <row r="522" spans="1:8" x14ac:dyDescent="0.25">
      <c r="A522" s="30">
        <v>8</v>
      </c>
      <c r="B522" s="26">
        <v>45982</v>
      </c>
      <c r="C522" s="2" t="s">
        <v>83</v>
      </c>
      <c r="D522" t="s">
        <v>499</v>
      </c>
      <c r="E522" s="1">
        <v>5</v>
      </c>
      <c r="F522" s="1">
        <f t="shared" si="8"/>
        <v>27344.050000000003</v>
      </c>
    </row>
    <row r="523" spans="1:8" x14ac:dyDescent="0.25">
      <c r="A523" s="30">
        <v>8</v>
      </c>
      <c r="B523" s="26">
        <v>45982</v>
      </c>
      <c r="C523" s="2" t="s">
        <v>80</v>
      </c>
      <c r="D523" t="s">
        <v>500</v>
      </c>
      <c r="E523" s="1">
        <v>5</v>
      </c>
      <c r="F523" s="1">
        <f t="shared" si="8"/>
        <v>27349.050000000003</v>
      </c>
    </row>
    <row r="524" spans="1:8" x14ac:dyDescent="0.25">
      <c r="A524" s="30">
        <v>1</v>
      </c>
      <c r="B524" s="26">
        <v>45985</v>
      </c>
      <c r="C524" s="2" t="s">
        <v>83</v>
      </c>
      <c r="D524" t="s">
        <v>504</v>
      </c>
      <c r="E524" s="1">
        <v>75</v>
      </c>
      <c r="F524" s="1">
        <f t="shared" si="8"/>
        <v>27424.050000000003</v>
      </c>
      <c r="H524" t="s">
        <v>400</v>
      </c>
    </row>
    <row r="525" spans="1:8" x14ac:dyDescent="0.25">
      <c r="A525" s="30">
        <v>8</v>
      </c>
      <c r="B525" s="26">
        <v>45985</v>
      </c>
      <c r="C525" s="2" t="s">
        <v>83</v>
      </c>
      <c r="D525" t="s">
        <v>508</v>
      </c>
      <c r="E525" s="1">
        <v>5</v>
      </c>
      <c r="F525" s="1">
        <f t="shared" si="8"/>
        <v>27429.050000000003</v>
      </c>
    </row>
    <row r="526" spans="1:8" x14ac:dyDescent="0.25">
      <c r="A526" s="30">
        <v>8</v>
      </c>
      <c r="B526" s="26">
        <v>45985</v>
      </c>
      <c r="C526" s="2" t="s">
        <v>80</v>
      </c>
      <c r="D526" t="s">
        <v>513</v>
      </c>
      <c r="E526" s="1">
        <v>1</v>
      </c>
      <c r="F526" s="1">
        <f t="shared" si="8"/>
        <v>27430.050000000003</v>
      </c>
    </row>
    <row r="527" spans="1:8" x14ac:dyDescent="0.25">
      <c r="A527" s="30">
        <v>8</v>
      </c>
      <c r="B527" s="26">
        <v>45985</v>
      </c>
      <c r="C527" s="2" t="s">
        <v>80</v>
      </c>
      <c r="D527" t="s">
        <v>507</v>
      </c>
      <c r="E527" s="1">
        <v>5</v>
      </c>
      <c r="F527" s="1">
        <f t="shared" si="8"/>
        <v>27435.050000000003</v>
      </c>
    </row>
    <row r="528" spans="1:8" x14ac:dyDescent="0.25">
      <c r="A528" s="30">
        <v>8</v>
      </c>
      <c r="B528" s="26">
        <v>45986</v>
      </c>
      <c r="C528" s="2" t="s">
        <v>80</v>
      </c>
      <c r="D528" t="s">
        <v>513</v>
      </c>
      <c r="E528" s="1">
        <v>49</v>
      </c>
      <c r="F528" s="1">
        <f t="shared" si="8"/>
        <v>27484.050000000003</v>
      </c>
    </row>
    <row r="529" spans="1:7" x14ac:dyDescent="0.25">
      <c r="A529" s="30">
        <v>8</v>
      </c>
      <c r="B529" s="26">
        <v>45985</v>
      </c>
      <c r="C529" s="2" t="s">
        <v>82</v>
      </c>
      <c r="D529" t="s">
        <v>511</v>
      </c>
      <c r="E529" s="1">
        <v>-5</v>
      </c>
      <c r="F529" s="1">
        <f t="shared" si="8"/>
        <v>27479.050000000003</v>
      </c>
      <c r="G529">
        <v>78</v>
      </c>
    </row>
    <row r="530" spans="1:7" x14ac:dyDescent="0.25">
      <c r="A530" s="30">
        <v>16</v>
      </c>
      <c r="B530" s="26">
        <v>45985</v>
      </c>
      <c r="C530" s="2" t="s">
        <v>8</v>
      </c>
      <c r="D530" t="s">
        <v>512</v>
      </c>
      <c r="E530" s="1">
        <v>-19.2</v>
      </c>
      <c r="F530" s="1">
        <f t="shared" si="8"/>
        <v>27459.850000000002</v>
      </c>
      <c r="G530">
        <v>79</v>
      </c>
    </row>
    <row r="531" spans="1:7" x14ac:dyDescent="0.25">
      <c r="A531" s="30">
        <v>8</v>
      </c>
      <c r="B531" s="26">
        <v>45985</v>
      </c>
      <c r="C531" s="2" t="s">
        <v>82</v>
      </c>
      <c r="D531" t="s">
        <v>510</v>
      </c>
      <c r="E531" s="1">
        <v>-25</v>
      </c>
      <c r="F531" s="1">
        <f t="shared" si="8"/>
        <v>27434.850000000002</v>
      </c>
      <c r="G531">
        <v>80</v>
      </c>
    </row>
    <row r="532" spans="1:7" x14ac:dyDescent="0.25">
      <c r="A532" s="30">
        <v>16</v>
      </c>
      <c r="B532" s="26">
        <v>45985</v>
      </c>
      <c r="C532" s="2" t="s">
        <v>8</v>
      </c>
      <c r="D532" t="s">
        <v>160</v>
      </c>
      <c r="E532" s="1">
        <v>-12.04</v>
      </c>
      <c r="F532" s="1">
        <f t="shared" si="8"/>
        <v>27422.81</v>
      </c>
      <c r="G532" t="s">
        <v>8</v>
      </c>
    </row>
    <row r="533" spans="1:7" x14ac:dyDescent="0.25">
      <c r="A533" s="30">
        <v>8</v>
      </c>
      <c r="B533" s="26">
        <v>45985</v>
      </c>
      <c r="C533" s="2" t="s">
        <v>120</v>
      </c>
      <c r="D533" t="s">
        <v>514</v>
      </c>
      <c r="E533" s="1">
        <v>5</v>
      </c>
      <c r="F533" s="1">
        <f t="shared" si="8"/>
        <v>27427.81</v>
      </c>
    </row>
    <row r="534" spans="1:7" x14ac:dyDescent="0.25">
      <c r="A534" s="30">
        <v>15</v>
      </c>
      <c r="B534" s="26">
        <v>45987</v>
      </c>
      <c r="C534" s="2" t="s">
        <v>80</v>
      </c>
      <c r="D534" t="s">
        <v>124</v>
      </c>
      <c r="E534" s="1">
        <v>-612.5</v>
      </c>
      <c r="F534" s="1">
        <f t="shared" si="8"/>
        <v>26815.31</v>
      </c>
      <c r="G534">
        <v>81</v>
      </c>
    </row>
    <row r="535" spans="1:7" x14ac:dyDescent="0.25">
      <c r="A535" s="30">
        <v>8</v>
      </c>
      <c r="B535" s="26">
        <v>45988</v>
      </c>
      <c r="C535" s="2" t="s">
        <v>79</v>
      </c>
      <c r="D535" t="s">
        <v>542</v>
      </c>
      <c r="E535" s="1">
        <v>950</v>
      </c>
      <c r="F535" s="1">
        <f t="shared" si="8"/>
        <v>27765.31</v>
      </c>
    </row>
    <row r="536" spans="1:7" x14ac:dyDescent="0.25">
      <c r="A536" s="30">
        <v>11</v>
      </c>
      <c r="B536" s="26">
        <v>45988</v>
      </c>
      <c r="C536" s="2" t="s">
        <v>8</v>
      </c>
      <c r="D536" t="s">
        <v>12</v>
      </c>
      <c r="E536" s="1">
        <v>-75.760000000000005</v>
      </c>
      <c r="F536" s="1">
        <f t="shared" si="8"/>
        <v>27689.550000000003</v>
      </c>
      <c r="G536" t="s">
        <v>8</v>
      </c>
    </row>
    <row r="537" spans="1:7" x14ac:dyDescent="0.25">
      <c r="B537" s="26"/>
      <c r="E537" s="1"/>
      <c r="F537" s="1"/>
    </row>
    <row r="538" spans="1:7" x14ac:dyDescent="0.25">
      <c r="B538" s="26"/>
      <c r="E538" s="1"/>
      <c r="F538" s="1"/>
    </row>
    <row r="539" spans="1:7" x14ac:dyDescent="0.25">
      <c r="B539" s="26"/>
      <c r="E539" s="1"/>
      <c r="F539" s="1"/>
    </row>
    <row r="540" spans="1:7" x14ac:dyDescent="0.25">
      <c r="B540" s="26"/>
      <c r="E540" s="1"/>
      <c r="F540" s="1"/>
    </row>
    <row r="541" spans="1:7" x14ac:dyDescent="0.25">
      <c r="B541" s="26"/>
      <c r="E541" s="1"/>
      <c r="F541" s="1"/>
    </row>
    <row r="542" spans="1:7" x14ac:dyDescent="0.25">
      <c r="B542" s="26"/>
      <c r="E542" s="1"/>
      <c r="F542" s="1"/>
    </row>
    <row r="544" spans="1:7" x14ac:dyDescent="0.25">
      <c r="F544" s="1"/>
    </row>
    <row r="545" spans="2:10" x14ac:dyDescent="0.25">
      <c r="F545" s="1"/>
    </row>
    <row r="546" spans="2:10" x14ac:dyDescent="0.25">
      <c r="F546" s="1"/>
    </row>
    <row r="547" spans="2:10" x14ac:dyDescent="0.25">
      <c r="F547" s="1"/>
    </row>
    <row r="548" spans="2:10" x14ac:dyDescent="0.25">
      <c r="F548" s="1"/>
    </row>
    <row r="549" spans="2:10" x14ac:dyDescent="0.25">
      <c r="F549" s="1"/>
    </row>
    <row r="550" spans="2:10" x14ac:dyDescent="0.25">
      <c r="B550" s="26"/>
      <c r="E550" s="1"/>
      <c r="F550" s="1"/>
      <c r="J550" s="26"/>
    </row>
    <row r="551" spans="2:10" x14ac:dyDescent="0.25">
      <c r="B551" s="26"/>
      <c r="E551" s="1"/>
      <c r="F551" s="1"/>
      <c r="J551" s="26"/>
    </row>
    <row r="552" spans="2:10" x14ac:dyDescent="0.25">
      <c r="B552" s="26"/>
      <c r="E552" s="1"/>
      <c r="F552" s="1"/>
    </row>
    <row r="553" spans="2:10" x14ac:dyDescent="0.25">
      <c r="B553" s="26"/>
      <c r="E553" s="1"/>
      <c r="F553" s="1"/>
    </row>
    <row r="554" spans="2:10" x14ac:dyDescent="0.25">
      <c r="B554" s="26"/>
      <c r="E554" s="1"/>
      <c r="F554" s="1"/>
      <c r="J554" s="26"/>
    </row>
    <row r="555" spans="2:10" x14ac:dyDescent="0.25">
      <c r="B555" s="26"/>
      <c r="E555" s="1"/>
      <c r="F555" s="1"/>
      <c r="J555" s="26"/>
    </row>
    <row r="556" spans="2:10" x14ac:dyDescent="0.25">
      <c r="B556" s="26"/>
      <c r="E556" s="1"/>
      <c r="F556" s="1"/>
    </row>
    <row r="557" spans="2:10" x14ac:dyDescent="0.25">
      <c r="B557" s="26"/>
      <c r="E557" s="1"/>
      <c r="F557" s="1"/>
    </row>
    <row r="558" spans="2:10" x14ac:dyDescent="0.25">
      <c r="B558" s="26"/>
      <c r="E558" s="1"/>
      <c r="F558" s="1"/>
    </row>
    <row r="559" spans="2:10" x14ac:dyDescent="0.25">
      <c r="B559" s="26"/>
      <c r="E559" s="1"/>
      <c r="F559" s="1"/>
    </row>
    <row r="560" spans="2:10" x14ac:dyDescent="0.25">
      <c r="B560" s="26"/>
      <c r="E560" s="1"/>
      <c r="F560" s="1"/>
    </row>
    <row r="561" spans="2:11" x14ac:dyDescent="0.25">
      <c r="B561" s="26"/>
      <c r="E561" s="1"/>
      <c r="F561" s="1"/>
    </row>
    <row r="562" spans="2:11" x14ac:dyDescent="0.25">
      <c r="B562" s="26"/>
      <c r="E562" s="1"/>
      <c r="F562" s="1"/>
      <c r="K562" s="9"/>
    </row>
    <row r="563" spans="2:11" x14ac:dyDescent="0.25">
      <c r="B563" s="26"/>
      <c r="E563" s="1"/>
      <c r="F563" s="1"/>
      <c r="K563" s="1"/>
    </row>
    <row r="564" spans="2:11" x14ac:dyDescent="0.25">
      <c r="E564" s="1"/>
      <c r="F564" s="1"/>
      <c r="K564" s="1"/>
    </row>
    <row r="565" spans="2:11" x14ac:dyDescent="0.25">
      <c r="E565" s="1"/>
      <c r="F565" s="1"/>
      <c r="K565" s="1"/>
    </row>
    <row r="566" spans="2:11" x14ac:dyDescent="0.25">
      <c r="E566" s="1"/>
      <c r="F566" s="1"/>
    </row>
    <row r="567" spans="2:11" x14ac:dyDescent="0.25">
      <c r="E567" s="1"/>
      <c r="F567" s="1"/>
    </row>
    <row r="568" spans="2:11" x14ac:dyDescent="0.25">
      <c r="E568" s="1"/>
      <c r="F568" s="1"/>
      <c r="K568" s="49"/>
    </row>
    <row r="569" spans="2:11" x14ac:dyDescent="0.25">
      <c r="D569" t="s">
        <v>51</v>
      </c>
      <c r="E569" s="1"/>
      <c r="F569" s="1"/>
    </row>
    <row r="570" spans="2:11" x14ac:dyDescent="0.25">
      <c r="E570" s="1"/>
      <c r="F570" s="1"/>
    </row>
    <row r="571" spans="2:11" x14ac:dyDescent="0.25">
      <c r="E571" s="1"/>
      <c r="F571" s="1"/>
    </row>
    <row r="572" spans="2:11" x14ac:dyDescent="0.25">
      <c r="E572" s="1"/>
      <c r="F572" s="1"/>
    </row>
    <row r="573" spans="2:11" x14ac:dyDescent="0.25">
      <c r="E573" s="1"/>
      <c r="F573" s="1"/>
    </row>
    <row r="574" spans="2:11" x14ac:dyDescent="0.25">
      <c r="E574" s="1"/>
      <c r="F574" s="1"/>
    </row>
    <row r="575" spans="2:11" x14ac:dyDescent="0.25">
      <c r="E575" s="1"/>
      <c r="F575" s="1"/>
    </row>
    <row r="576" spans="2:11" x14ac:dyDescent="0.25">
      <c r="E576" s="1"/>
      <c r="F576" s="1"/>
    </row>
    <row r="577" spans="5:6" x14ac:dyDescent="0.25">
      <c r="E577" s="1"/>
      <c r="F577" s="1"/>
    </row>
    <row r="578" spans="5:6" x14ac:dyDescent="0.25">
      <c r="E578" s="1"/>
      <c r="F578" s="1"/>
    </row>
    <row r="579" spans="5:6" x14ac:dyDescent="0.25">
      <c r="E579" s="1"/>
      <c r="F579" s="1"/>
    </row>
    <row r="580" spans="5:6" x14ac:dyDescent="0.25">
      <c r="E580" s="1"/>
      <c r="F580" s="1"/>
    </row>
    <row r="581" spans="5:6" x14ac:dyDescent="0.25">
      <c r="E581" s="1"/>
      <c r="F581" s="1"/>
    </row>
    <row r="582" spans="5:6" x14ac:dyDescent="0.25">
      <c r="E582" s="1"/>
      <c r="F582" s="1"/>
    </row>
    <row r="583" spans="5:6" x14ac:dyDescent="0.25">
      <c r="E583" s="1"/>
      <c r="F583" s="1"/>
    </row>
    <row r="584" spans="5:6" x14ac:dyDescent="0.25">
      <c r="E584" s="1"/>
      <c r="F584" s="1"/>
    </row>
    <row r="585" spans="5:6" x14ac:dyDescent="0.25">
      <c r="E585" s="1"/>
      <c r="F585" s="1"/>
    </row>
    <row r="586" spans="5:6" x14ac:dyDescent="0.25">
      <c r="E586" s="1"/>
      <c r="F586" s="1"/>
    </row>
    <row r="587" spans="5:6" x14ac:dyDescent="0.25">
      <c r="E587" s="1"/>
      <c r="F587" s="1"/>
    </row>
    <row r="588" spans="5:6" x14ac:dyDescent="0.25">
      <c r="E588" s="1"/>
      <c r="F588" s="1"/>
    </row>
    <row r="589" spans="5:6" x14ac:dyDescent="0.25">
      <c r="E589" s="1"/>
      <c r="F589" s="1"/>
    </row>
    <row r="590" spans="5:6" x14ac:dyDescent="0.25">
      <c r="E590" s="1"/>
      <c r="F590" s="1"/>
    </row>
    <row r="591" spans="5:6" x14ac:dyDescent="0.25">
      <c r="E591" s="1"/>
      <c r="F591" s="1"/>
    </row>
    <row r="592" spans="5:6" x14ac:dyDescent="0.25">
      <c r="E592" s="1"/>
      <c r="F592" s="1"/>
    </row>
    <row r="593" spans="5:6" x14ac:dyDescent="0.25">
      <c r="E593" s="1"/>
      <c r="F593" s="1"/>
    </row>
    <row r="594" spans="5:6" x14ac:dyDescent="0.25">
      <c r="E594" s="1"/>
      <c r="F594" s="1"/>
    </row>
    <row r="595" spans="5:6" x14ac:dyDescent="0.25">
      <c r="E595" s="1"/>
      <c r="F595" s="1"/>
    </row>
    <row r="596" spans="5:6" x14ac:dyDescent="0.25">
      <c r="E596" s="1"/>
      <c r="F596" s="1"/>
    </row>
    <row r="597" spans="5:6" x14ac:dyDescent="0.25">
      <c r="E597" s="1"/>
      <c r="F597" s="1"/>
    </row>
    <row r="598" spans="5:6" x14ac:dyDescent="0.25">
      <c r="E598" s="1"/>
      <c r="F598" s="1"/>
    </row>
    <row r="599" spans="5:6" x14ac:dyDescent="0.25">
      <c r="E599" s="1"/>
      <c r="F599" s="1"/>
    </row>
    <row r="600" spans="5:6" x14ac:dyDescent="0.25">
      <c r="E600" s="1"/>
      <c r="F600" s="1"/>
    </row>
    <row r="601" spans="5:6" x14ac:dyDescent="0.25">
      <c r="E601" s="1"/>
      <c r="F601" s="1"/>
    </row>
    <row r="602" spans="5:6" x14ac:dyDescent="0.25">
      <c r="E602" s="1"/>
      <c r="F602" s="1"/>
    </row>
    <row r="603" spans="5:6" x14ac:dyDescent="0.25">
      <c r="E603" s="1"/>
      <c r="F603" s="1"/>
    </row>
    <row r="604" spans="5:6" x14ac:dyDescent="0.25">
      <c r="E604" s="1"/>
      <c r="F604" s="1"/>
    </row>
    <row r="605" spans="5:6" x14ac:dyDescent="0.25">
      <c r="E605" s="1"/>
      <c r="F605" s="1"/>
    </row>
    <row r="606" spans="5:6" x14ac:dyDescent="0.25">
      <c r="E606" s="1"/>
      <c r="F606" s="1"/>
    </row>
    <row r="607" spans="5:6" x14ac:dyDescent="0.25">
      <c r="E607" s="1"/>
      <c r="F607" s="1"/>
    </row>
    <row r="608" spans="5:6" x14ac:dyDescent="0.25">
      <c r="E608" s="1"/>
      <c r="F608" s="1"/>
    </row>
    <row r="609" spans="5:6" x14ac:dyDescent="0.25">
      <c r="E609" s="1"/>
      <c r="F609" s="1"/>
    </row>
    <row r="610" spans="5:6" x14ac:dyDescent="0.25">
      <c r="E610" s="1"/>
      <c r="F610" s="1"/>
    </row>
    <row r="611" spans="5:6" x14ac:dyDescent="0.25">
      <c r="E611" s="1"/>
      <c r="F611" s="1"/>
    </row>
    <row r="612" spans="5:6" x14ac:dyDescent="0.25">
      <c r="E612" s="1"/>
      <c r="F612" s="1"/>
    </row>
    <row r="613" spans="5:6" x14ac:dyDescent="0.25">
      <c r="E613" s="1"/>
      <c r="F613" s="1"/>
    </row>
    <row r="614" spans="5:6" x14ac:dyDescent="0.25">
      <c r="E614" s="1"/>
      <c r="F614" s="1"/>
    </row>
  </sheetData>
  <sortState xmlns:xlrd2="http://schemas.microsoft.com/office/spreadsheetml/2017/richdata2" ref="O20:P36">
    <sortCondition ref="O20:O36"/>
  </sortState>
  <pageMargins left="0.19685039370078741" right="0.19685039370078741" top="0.74803149606299213" bottom="0.74803149606299213"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CBC3-9EBD-4EEF-B99F-0A9F62F701F7}">
  <dimension ref="A2:AG66"/>
  <sheetViews>
    <sheetView tabSelected="1" workbookViewId="0">
      <selection activeCell="I36" sqref="I36"/>
    </sheetView>
  </sheetViews>
  <sheetFormatPr defaultRowHeight="15" x14ac:dyDescent="0.25"/>
  <cols>
    <col min="2" max="2" width="4.5703125" customWidth="1"/>
    <col min="3" max="3" width="14.28515625" customWidth="1"/>
    <col min="4" max="5" width="7.7109375" customWidth="1"/>
    <col min="6" max="6" width="5.7109375" customWidth="1"/>
    <col min="7" max="7" width="5.7109375" hidden="1" customWidth="1"/>
    <col min="8" max="9" width="7.7109375" customWidth="1"/>
    <col min="10" max="10" width="5.7109375" customWidth="1"/>
    <col min="11" max="11" width="5.7109375" hidden="1" customWidth="1"/>
    <col min="12" max="13" width="7.7109375" customWidth="1"/>
    <col min="14" max="14" width="6.85546875" customWidth="1"/>
    <col min="15" max="15" width="5.7109375" hidden="1" customWidth="1"/>
    <col min="16" max="17" width="7.7109375" customWidth="1"/>
    <col min="18" max="18" width="6.42578125" customWidth="1"/>
    <col min="19" max="19" width="5.7109375" hidden="1" customWidth="1"/>
    <col min="20" max="21" width="7.7109375" customWidth="1"/>
    <col min="22" max="22" width="6.7109375" customWidth="1"/>
    <col min="23" max="23" width="8" customWidth="1"/>
    <col min="25" max="25" width="10.5703125" customWidth="1"/>
  </cols>
  <sheetData>
    <row r="2" spans="1:33" x14ac:dyDescent="0.25">
      <c r="C2" t="s">
        <v>51</v>
      </c>
    </row>
    <row r="3" spans="1:33" x14ac:dyDescent="0.25">
      <c r="D3" s="82" t="s">
        <v>551</v>
      </c>
      <c r="E3" s="82"/>
      <c r="F3" s="82"/>
      <c r="G3" s="82"/>
      <c r="H3" s="82"/>
      <c r="I3" s="82"/>
      <c r="J3" s="82"/>
      <c r="K3" s="82"/>
      <c r="L3" s="82"/>
      <c r="M3" s="82"/>
      <c r="N3" s="82"/>
      <c r="O3" s="82"/>
      <c r="P3" s="82"/>
      <c r="Q3" s="82"/>
      <c r="R3" s="82"/>
      <c r="S3" s="82"/>
      <c r="T3" s="82"/>
      <c r="U3" s="82"/>
      <c r="V3" s="82"/>
      <c r="W3" s="82"/>
    </row>
    <row r="4" spans="1:33" x14ac:dyDescent="0.25">
      <c r="B4" s="28"/>
      <c r="C4" s="24" t="s">
        <v>29</v>
      </c>
      <c r="D4" s="19" t="s">
        <v>136</v>
      </c>
      <c r="E4" s="19" t="s">
        <v>372</v>
      </c>
      <c r="F4" s="20" t="s">
        <v>25</v>
      </c>
      <c r="G4" s="21" t="s">
        <v>26</v>
      </c>
      <c r="H4" s="74" t="s">
        <v>200</v>
      </c>
      <c r="I4" s="19" t="s">
        <v>373</v>
      </c>
      <c r="J4" s="20" t="s">
        <v>25</v>
      </c>
      <c r="K4" s="21" t="s">
        <v>26</v>
      </c>
      <c r="L4" s="80" t="s">
        <v>211</v>
      </c>
      <c r="M4" s="42" t="s">
        <v>374</v>
      </c>
      <c r="N4" s="43" t="s">
        <v>25</v>
      </c>
      <c r="O4" s="44" t="s">
        <v>26</v>
      </c>
      <c r="P4" s="74" t="s">
        <v>213</v>
      </c>
      <c r="Q4" s="19" t="s">
        <v>375</v>
      </c>
      <c r="R4" s="20" t="s">
        <v>25</v>
      </c>
      <c r="S4" s="21" t="s">
        <v>26</v>
      </c>
      <c r="T4" s="74" t="s">
        <v>141</v>
      </c>
      <c r="U4" s="19" t="s">
        <v>376</v>
      </c>
      <c r="V4" s="20" t="s">
        <v>25</v>
      </c>
      <c r="W4" s="21" t="s">
        <v>26</v>
      </c>
      <c r="Z4" t="s">
        <v>543</v>
      </c>
    </row>
    <row r="5" spans="1:33" x14ac:dyDescent="0.25">
      <c r="A5" t="s">
        <v>51</v>
      </c>
      <c r="B5" s="23">
        <v>1</v>
      </c>
      <c r="C5" s="32" t="s">
        <v>17</v>
      </c>
      <c r="D5" s="15">
        <v>5650</v>
      </c>
      <c r="E5" s="15">
        <f>SUMIF('2025 in&amp;out'!A4:A158,"1",'2025 in&amp;out'!E4:E158)</f>
        <v>4635</v>
      </c>
      <c r="F5" s="15"/>
      <c r="G5" s="34"/>
      <c r="H5" s="75">
        <v>6575</v>
      </c>
      <c r="I5" s="15">
        <f>SUMIF('2025 in&amp;out'!A159:A283,"1",'2025 in&amp;out'!E159:E283)</f>
        <v>5274.33</v>
      </c>
      <c r="J5" s="15"/>
      <c r="K5" s="34"/>
      <c r="L5" s="75">
        <v>3618.38</v>
      </c>
      <c r="M5" s="15">
        <f>SUMIF('2025 in&amp;out'!A284:A404,"1",'2025 in&amp;out'!E284:E404)</f>
        <v>3995</v>
      </c>
      <c r="N5" s="15"/>
      <c r="O5" s="34"/>
      <c r="P5" s="75">
        <v>6665</v>
      </c>
      <c r="Q5" s="15">
        <f>SUMIF('2025 in&amp;out'!A405:A610,"1",'2025 in&amp;out'!E405:E610)</f>
        <v>5262.5</v>
      </c>
      <c r="R5" s="15"/>
      <c r="S5" s="33"/>
      <c r="T5" s="75">
        <f>D5+H5+L5+P5</f>
        <v>22508.38</v>
      </c>
      <c r="U5" s="15">
        <f t="shared" ref="U5:U30" si="0">E5+I5+M5+Q5</f>
        <v>19166.830000000002</v>
      </c>
      <c r="V5" s="15">
        <f>U5-T5</f>
        <v>-3341.5499999999993</v>
      </c>
      <c r="W5" s="34">
        <f>V5/T5</f>
        <v>-0.14845804096074436</v>
      </c>
      <c r="Y5" s="26">
        <v>45778</v>
      </c>
      <c r="Z5" t="s">
        <v>544</v>
      </c>
    </row>
    <row r="6" spans="1:33" x14ac:dyDescent="0.25">
      <c r="B6" s="23">
        <v>2</v>
      </c>
      <c r="C6" s="32" t="s">
        <v>16</v>
      </c>
      <c r="D6" s="15">
        <v>0</v>
      </c>
      <c r="E6" s="15">
        <f>SUMIF('2025 in&amp;out'!A4:A158,"2",'2025 in&amp;out'!E4:E158)</f>
        <v>0</v>
      </c>
      <c r="F6" s="15"/>
      <c r="G6" s="34"/>
      <c r="H6" s="75">
        <v>0</v>
      </c>
      <c r="I6" s="15">
        <f>SUMIF('2025 in&amp;out'!A159:A283,"2",'2025 in&amp;out'!E159:E283)</f>
        <v>0</v>
      </c>
      <c r="J6" s="15"/>
      <c r="K6" s="34"/>
      <c r="L6" s="75">
        <v>0</v>
      </c>
      <c r="M6" s="15">
        <f ca="1">SUMIF('2025 in&amp;out'!A284:E404,"2",'2025 in&amp;out'!E284:E404)</f>
        <v>-55</v>
      </c>
      <c r="N6" s="15"/>
      <c r="O6" s="34"/>
      <c r="P6" s="75">
        <v>0</v>
      </c>
      <c r="Q6" s="15">
        <f>SUMIF('2025 in&amp;out'!A405:A610,"2",'2025 in&amp;out'!E405:E610)</f>
        <v>0</v>
      </c>
      <c r="R6" s="15"/>
      <c r="S6" s="33"/>
      <c r="T6" s="75">
        <v>0</v>
      </c>
      <c r="U6" s="15">
        <f t="shared" ca="1" si="0"/>
        <v>-55</v>
      </c>
      <c r="V6" s="15">
        <f t="shared" ref="V6:V30" ca="1" si="1">U6-T6</f>
        <v>-55</v>
      </c>
      <c r="W6" s="34"/>
      <c r="Y6" s="26">
        <v>45685</v>
      </c>
      <c r="Z6" t="s">
        <v>523</v>
      </c>
    </row>
    <row r="7" spans="1:33" x14ac:dyDescent="0.25">
      <c r="B7" s="23"/>
      <c r="C7" s="17" t="s">
        <v>18</v>
      </c>
      <c r="D7" s="54">
        <v>5650</v>
      </c>
      <c r="E7" s="54">
        <f>E5+E6</f>
        <v>4635</v>
      </c>
      <c r="F7" s="55">
        <f t="shared" ref="F7:F14" si="2">E7-D7</f>
        <v>-1015</v>
      </c>
      <c r="G7" s="56">
        <f>F7/D7</f>
        <v>-0.17964601769911503</v>
      </c>
      <c r="H7" s="76">
        <v>6575</v>
      </c>
      <c r="I7" s="54">
        <f>I5+I6</f>
        <v>5274.33</v>
      </c>
      <c r="J7" s="55">
        <f t="shared" ref="J7:J14" si="3">I7-H7</f>
        <v>-1300.67</v>
      </c>
      <c r="K7" s="56">
        <f>J7/H7</f>
        <v>-0.19782053231939165</v>
      </c>
      <c r="L7" s="76">
        <v>3618.38</v>
      </c>
      <c r="M7" s="54">
        <f ca="1">M5+M6</f>
        <v>3940</v>
      </c>
      <c r="N7" s="54">
        <f ca="1">M7-L7</f>
        <v>321.61999999999989</v>
      </c>
      <c r="O7" s="56">
        <f ca="1">N7/L7</f>
        <v>8.8885081168920868E-2</v>
      </c>
      <c r="P7" s="76">
        <v>6665</v>
      </c>
      <c r="Q7" s="54">
        <f>Q5+Q6</f>
        <v>5262.5</v>
      </c>
      <c r="R7" s="55">
        <f t="shared" ref="R7" si="4">Q7-P7</f>
        <v>-1402.5</v>
      </c>
      <c r="S7" s="56">
        <f>R7/P7</f>
        <v>-0.21042760690172543</v>
      </c>
      <c r="T7" s="75">
        <f t="shared" ref="T7:T13" si="5">D7+H7+L7+P7</f>
        <v>22508.38</v>
      </c>
      <c r="U7" s="15">
        <f t="shared" ca="1" si="0"/>
        <v>19111.830000000002</v>
      </c>
      <c r="V7" s="15">
        <f t="shared" ca="1" si="1"/>
        <v>-3396.5499999999993</v>
      </c>
      <c r="W7" s="34">
        <f t="shared" ref="W7:W33" ca="1" si="6">V7/T7</f>
        <v>-0.15090157532439025</v>
      </c>
      <c r="X7" t="s">
        <v>521</v>
      </c>
      <c r="Y7" s="26">
        <v>45685</v>
      </c>
      <c r="Z7" t="s">
        <v>524</v>
      </c>
      <c r="AG7" s="15"/>
    </row>
    <row r="8" spans="1:33" x14ac:dyDescent="0.25">
      <c r="B8" s="23">
        <v>3</v>
      </c>
      <c r="C8" s="32" t="s">
        <v>19</v>
      </c>
      <c r="D8" s="15">
        <v>0</v>
      </c>
      <c r="E8" s="15">
        <f>SUMIF('2025 in&amp;out'!A4:A158,"3",'2025 in&amp;out'!E4:E158)</f>
        <v>0</v>
      </c>
      <c r="F8" s="15"/>
      <c r="G8" s="56"/>
      <c r="H8" s="75">
        <v>0</v>
      </c>
      <c r="I8" s="15">
        <f>SUMIF('2025 in&amp;out'!A159:A283,"3",'2025 in&amp;out'!E159:E283)</f>
        <v>15000</v>
      </c>
      <c r="J8" s="15"/>
      <c r="K8" s="34"/>
      <c r="L8" s="75">
        <v>9600</v>
      </c>
      <c r="M8" s="15">
        <f ca="1">SUMIF('2025 in&amp;out'!A284:E404,"3",'2025 in&amp;out'!E284:E404)</f>
        <v>0</v>
      </c>
      <c r="N8" s="15"/>
      <c r="O8" s="34"/>
      <c r="P8" s="75">
        <v>0</v>
      </c>
      <c r="Q8" s="15">
        <f>SUMIF('2025 in&amp;out'!A405:A610,"3",'2025 in&amp;out'!E405:E610)</f>
        <v>0</v>
      </c>
      <c r="R8" s="15"/>
      <c r="S8" s="33"/>
      <c r="T8" s="75">
        <f t="shared" si="5"/>
        <v>9600</v>
      </c>
      <c r="U8" s="15">
        <f t="shared" ca="1" si="0"/>
        <v>15000</v>
      </c>
      <c r="V8" s="15">
        <f t="shared" ca="1" si="1"/>
        <v>5400</v>
      </c>
      <c r="W8" s="34">
        <f t="shared" ca="1" si="6"/>
        <v>0.5625</v>
      </c>
      <c r="Y8" s="26">
        <v>45834</v>
      </c>
      <c r="Z8" t="s">
        <v>525</v>
      </c>
      <c r="AG8" s="15"/>
    </row>
    <row r="9" spans="1:33" x14ac:dyDescent="0.25">
      <c r="B9" s="23">
        <v>4</v>
      </c>
      <c r="C9" s="32" t="s">
        <v>22</v>
      </c>
      <c r="D9" s="15">
        <v>0</v>
      </c>
      <c r="E9" s="15">
        <f>SUMIF('2025 in&amp;out'!A4:A158,"4",'2025 in&amp;out'!E4:E158)</f>
        <v>0</v>
      </c>
      <c r="F9" s="15"/>
      <c r="G9" s="34"/>
      <c r="H9" s="75">
        <v>300</v>
      </c>
      <c r="I9" s="15">
        <f>SUMIF('2025 in&amp;out'!A159:A283,"4",'2025 in&amp;out'!E159:E283)</f>
        <v>0</v>
      </c>
      <c r="J9" s="15"/>
      <c r="K9" s="34"/>
      <c r="L9" s="75">
        <v>0</v>
      </c>
      <c r="M9" s="15">
        <f ca="1">SUMIF('2025 in&amp;out'!A284:E404,"4",'2025 in&amp;out'!E284:E404)</f>
        <v>300</v>
      </c>
      <c r="N9" s="15"/>
      <c r="O9" s="34"/>
      <c r="P9" s="75">
        <v>1333.65</v>
      </c>
      <c r="Q9" s="15">
        <f>SUMIF('2025 in&amp;out'!A405:A610,"4",'2025 in&amp;out'!E405:E610)</f>
        <v>0</v>
      </c>
      <c r="R9" s="15"/>
      <c r="S9" s="33"/>
      <c r="T9" s="75">
        <f t="shared" si="5"/>
        <v>1633.65</v>
      </c>
      <c r="U9" s="15">
        <f t="shared" ca="1" si="0"/>
        <v>300</v>
      </c>
      <c r="V9" s="15">
        <f t="shared" ca="1" si="1"/>
        <v>-1333.65</v>
      </c>
      <c r="W9" s="34">
        <f t="shared" ca="1" si="6"/>
        <v>-0.8163621338720044</v>
      </c>
      <c r="X9" t="s">
        <v>521</v>
      </c>
      <c r="Y9" s="26">
        <v>45875</v>
      </c>
      <c r="Z9" t="s">
        <v>526</v>
      </c>
      <c r="AG9" s="15"/>
    </row>
    <row r="10" spans="1:33" x14ac:dyDescent="0.25">
      <c r="B10" s="23">
        <v>5</v>
      </c>
      <c r="C10" s="32" t="s">
        <v>36</v>
      </c>
      <c r="D10" s="15">
        <v>200</v>
      </c>
      <c r="E10" s="15">
        <f>SUMIF('2025 in&amp;out'!A4:A158,"5",'2025 in&amp;out'!E4:E158)</f>
        <v>0</v>
      </c>
      <c r="F10" s="15"/>
      <c r="G10" s="34"/>
      <c r="H10" s="75">
        <v>0</v>
      </c>
      <c r="I10" s="15">
        <f>SUMIF('2025 in&amp;out'!A159:A283,"5",'2025 in&amp;out'!E159:E283)</f>
        <v>0</v>
      </c>
      <c r="J10" s="15"/>
      <c r="K10" s="34"/>
      <c r="L10" s="75">
        <v>0</v>
      </c>
      <c r="M10" s="15">
        <f ca="1">SUMIF('2025 in&amp;out'!A284:E404,"5",'2025 in&amp;out'!E284:E404)</f>
        <v>0</v>
      </c>
      <c r="N10" s="15"/>
      <c r="O10" s="34"/>
      <c r="P10" s="75">
        <v>380</v>
      </c>
      <c r="Q10" s="15">
        <f>SUMIF('2025 in&amp;out'!A405:A610,"5",'2025 in&amp;out'!E405:E610)</f>
        <v>0</v>
      </c>
      <c r="R10" s="15"/>
      <c r="S10" s="33"/>
      <c r="T10" s="75">
        <f t="shared" si="5"/>
        <v>580</v>
      </c>
      <c r="U10" s="15">
        <f t="shared" ca="1" si="0"/>
        <v>0</v>
      </c>
      <c r="V10" s="15">
        <f t="shared" ca="1" si="1"/>
        <v>-580</v>
      </c>
      <c r="W10" s="34">
        <f t="shared" ca="1" si="6"/>
        <v>-1</v>
      </c>
      <c r="X10" t="s">
        <v>521</v>
      </c>
      <c r="Y10" s="26">
        <v>45919</v>
      </c>
      <c r="Z10" t="s">
        <v>527</v>
      </c>
      <c r="AG10" s="15"/>
    </row>
    <row r="11" spans="1:33" x14ac:dyDescent="0.25">
      <c r="B11" s="23">
        <v>6</v>
      </c>
      <c r="C11" s="32" t="s">
        <v>24</v>
      </c>
      <c r="D11" s="15">
        <v>0</v>
      </c>
      <c r="E11" s="15">
        <f>SUMIF('2025 in&amp;out'!A4:A158,"6",'2025 in&amp;out'!E4:E158)</f>
        <v>0</v>
      </c>
      <c r="F11" s="15"/>
      <c r="G11" s="34"/>
      <c r="H11" s="75">
        <v>0</v>
      </c>
      <c r="I11" s="15">
        <f>SUMIF('2025 in&amp;out'!A159:A283,"6",'2025 in&amp;out'!E159:E283)</f>
        <v>0</v>
      </c>
      <c r="J11" s="15"/>
      <c r="K11" s="34"/>
      <c r="L11" s="75">
        <v>-40000</v>
      </c>
      <c r="M11" s="15">
        <f ca="1">SUMIF('2025 in&amp;out'!A284:E404,"6",'2025 in&amp;out'!E284:E404)</f>
        <v>0</v>
      </c>
      <c r="N11" s="15"/>
      <c r="O11" s="34"/>
      <c r="P11" s="75">
        <v>10000</v>
      </c>
      <c r="Q11" s="15">
        <f>SUMIF('2025 in&amp;out'!A405:A610,"6",'2025 in&amp;out'!E405:E610)</f>
        <v>0</v>
      </c>
      <c r="R11" s="15"/>
      <c r="S11" s="33"/>
      <c r="T11" s="75">
        <f t="shared" si="5"/>
        <v>-30000</v>
      </c>
      <c r="U11" s="15">
        <f t="shared" ca="1" si="0"/>
        <v>0</v>
      </c>
      <c r="V11" s="15">
        <f t="shared" ca="1" si="1"/>
        <v>30000</v>
      </c>
      <c r="W11" s="34"/>
      <c r="Y11" s="26">
        <v>45853</v>
      </c>
      <c r="Z11" t="s">
        <v>528</v>
      </c>
      <c r="AG11" s="15"/>
    </row>
    <row r="12" spans="1:33" x14ac:dyDescent="0.25">
      <c r="B12" s="23">
        <v>7</v>
      </c>
      <c r="C12" s="32" t="s">
        <v>20</v>
      </c>
      <c r="D12" s="15">
        <v>0</v>
      </c>
      <c r="E12" s="15">
        <f>SUMIF('2025 in&amp;out'!A4:A158,"7",'2025 in&amp;out'!E4:E158)</f>
        <v>730</v>
      </c>
      <c r="F12" s="15"/>
      <c r="G12" s="34"/>
      <c r="H12" s="75">
        <v>0</v>
      </c>
      <c r="I12" s="15">
        <f>SUMIF('2025 in&amp;out'!A159:A283,"7",'2025 in&amp;out'!E159:E283)</f>
        <v>46900</v>
      </c>
      <c r="J12" s="15"/>
      <c r="K12" s="34"/>
      <c r="L12" s="75">
        <v>49000</v>
      </c>
      <c r="M12" s="15">
        <f ca="1">SUMIF('2025 in&amp;out'!A284:E404,"7",'2025 in&amp;out'!E284:E404)</f>
        <v>1134.24</v>
      </c>
      <c r="N12" s="15"/>
      <c r="O12" s="34"/>
      <c r="P12" s="75">
        <v>0</v>
      </c>
      <c r="Q12" s="15">
        <f>SUMIF('2025 in&amp;out'!A405:A610,"7",'2025 in&amp;out'!E405:E610)</f>
        <v>0</v>
      </c>
      <c r="R12" s="15"/>
      <c r="S12" s="33"/>
      <c r="T12" s="75">
        <f t="shared" si="5"/>
        <v>49000</v>
      </c>
      <c r="U12" s="15">
        <f t="shared" ca="1" si="0"/>
        <v>48764.24</v>
      </c>
      <c r="V12" s="15">
        <f t="shared" ca="1" si="1"/>
        <v>-235.76000000000204</v>
      </c>
      <c r="W12" s="34">
        <f t="shared" ca="1" si="6"/>
        <v>-4.8114285714286132E-3</v>
      </c>
      <c r="Y12" s="26">
        <v>45895</v>
      </c>
      <c r="Z12" t="s">
        <v>529</v>
      </c>
      <c r="AG12" s="15"/>
    </row>
    <row r="13" spans="1:33" x14ac:dyDescent="0.25">
      <c r="B13" s="23">
        <v>8</v>
      </c>
      <c r="C13" s="32" t="s">
        <v>242</v>
      </c>
      <c r="D13" s="15">
        <v>0</v>
      </c>
      <c r="E13" s="15">
        <f>SUMIF('2025 in&amp;out'!A4:A158,"8",'2025 in&amp;out'!E4:E158)</f>
        <v>0</v>
      </c>
      <c r="F13" s="15"/>
      <c r="G13" s="34"/>
      <c r="H13" s="75">
        <v>0</v>
      </c>
      <c r="I13" s="15">
        <f>SUMIF('2025 in&amp;out'!A159:A283,"8",'2025 in&amp;out'!E159:E283)</f>
        <v>0</v>
      </c>
      <c r="J13" s="15"/>
      <c r="K13" s="34"/>
      <c r="L13" s="75">
        <v>120</v>
      </c>
      <c r="M13" s="15">
        <f ca="1">SUMIF('2025 in&amp;out'!A284:E404,"8",'2025 in&amp;out'!E284:E404)</f>
        <v>0</v>
      </c>
      <c r="N13" s="15"/>
      <c r="O13" s="34"/>
      <c r="P13" s="75">
        <v>1310.49</v>
      </c>
      <c r="Q13" s="15">
        <f>SUMIF('2025 in&amp;out'!A405:A610,"8",'2025 in&amp;out'!E405:E610)</f>
        <v>1400</v>
      </c>
      <c r="R13" s="15"/>
      <c r="S13" s="33"/>
      <c r="T13" s="75">
        <f t="shared" si="5"/>
        <v>1430.49</v>
      </c>
      <c r="U13" s="15">
        <f t="shared" ca="1" si="0"/>
        <v>1400</v>
      </c>
      <c r="V13" s="15">
        <f t="shared" ca="1" si="1"/>
        <v>-30.490000000000009</v>
      </c>
      <c r="W13" s="34"/>
      <c r="X13" t="s">
        <v>521</v>
      </c>
      <c r="Y13" s="26">
        <v>45684</v>
      </c>
      <c r="Z13" s="26" t="s">
        <v>530</v>
      </c>
      <c r="AG13" s="15"/>
    </row>
    <row r="14" spans="1:33" x14ac:dyDescent="0.25">
      <c r="B14" s="23"/>
      <c r="C14" s="18" t="s">
        <v>21</v>
      </c>
      <c r="D14" s="57">
        <v>5850</v>
      </c>
      <c r="E14" s="57">
        <f>E7+E8+E9+E10+E11+E12+E13</f>
        <v>5365</v>
      </c>
      <c r="F14" s="57">
        <f t="shared" si="2"/>
        <v>-485</v>
      </c>
      <c r="G14" s="58">
        <f>F14/D14</f>
        <v>-8.2905982905982903E-2</v>
      </c>
      <c r="H14" s="77">
        <v>6875</v>
      </c>
      <c r="I14" s="57">
        <f>I7+I8+I9+I10+I11+I12+I13</f>
        <v>67174.33</v>
      </c>
      <c r="J14" s="57">
        <f t="shared" si="3"/>
        <v>60299.33</v>
      </c>
      <c r="K14" s="58">
        <f>J14/H14</f>
        <v>8.7708116363636375</v>
      </c>
      <c r="L14" s="77">
        <v>22338.38</v>
      </c>
      <c r="M14" s="57">
        <f ca="1">M7+M8+M9+M10+M11+M12+M13</f>
        <v>5374.24</v>
      </c>
      <c r="N14" s="57">
        <f ca="1">M14-L14</f>
        <v>-16964.14</v>
      </c>
      <c r="O14" s="58">
        <f ca="1">N14/L14</f>
        <v>-0.75941675269200359</v>
      </c>
      <c r="P14" s="77">
        <v>19689.140000000003</v>
      </c>
      <c r="Q14" s="57">
        <f>Q7+Q8+Q9+Q10+Q11+Q12+Q13</f>
        <v>6662.5</v>
      </c>
      <c r="R14" s="57">
        <f t="shared" ref="R14" si="7">Q14-P14</f>
        <v>-13026.640000000003</v>
      </c>
      <c r="S14" s="58">
        <f>R14/P14</f>
        <v>-0.66161548955414007</v>
      </c>
      <c r="T14" s="77">
        <f>D14+H14+L14+P14</f>
        <v>54752.520000000004</v>
      </c>
      <c r="U14" s="57">
        <f t="shared" ca="1" si="0"/>
        <v>84576.07</v>
      </c>
      <c r="V14" s="57">
        <f ca="1">V7+V8+V9+V10+V11+V12+V13</f>
        <v>29823.549999999996</v>
      </c>
      <c r="W14" s="58">
        <f t="shared" ca="1" si="6"/>
        <v>0.54469730343005207</v>
      </c>
      <c r="Y14" s="26">
        <v>45932</v>
      </c>
      <c r="Z14" s="26" t="s">
        <v>531</v>
      </c>
      <c r="AG14" s="15"/>
    </row>
    <row r="15" spans="1:33" x14ac:dyDescent="0.25">
      <c r="B15" s="23">
        <v>10</v>
      </c>
      <c r="C15" s="32" t="s">
        <v>37</v>
      </c>
      <c r="D15" s="15">
        <v>-12.5</v>
      </c>
      <c r="E15" s="15">
        <f>SUMIF('2025 in&amp;out'!A4:A158,"10",'2025 in&amp;out'!E4:E158)</f>
        <v>-12.5</v>
      </c>
      <c r="F15" s="15"/>
      <c r="G15" s="34"/>
      <c r="H15" s="75">
        <v>-12.5</v>
      </c>
      <c r="I15" s="15">
        <f>SUMIF('2025 in&amp;out'!A159:A283,"10",'2025 in&amp;out'!E159:E283)</f>
        <v>-12.5</v>
      </c>
      <c r="J15" s="15"/>
      <c r="K15" s="34"/>
      <c r="L15" s="75">
        <v>-12.5</v>
      </c>
      <c r="M15" s="15">
        <f ca="1">SUMIF('2025 in&amp;out'!A284:E404,"10",'2025 in&amp;out'!E284:E404)</f>
        <v>-12.5</v>
      </c>
      <c r="N15" s="15"/>
      <c r="O15" s="34"/>
      <c r="P15" s="75">
        <v>-12.5</v>
      </c>
      <c r="Q15" s="15">
        <f>SUMIF('2025 in&amp;out'!A405:A610,"10",'2025 in&amp;out'!E405:E610)</f>
        <v>-12.5</v>
      </c>
      <c r="R15" s="15"/>
      <c r="S15" s="33"/>
      <c r="T15" s="75">
        <f>D15+H15+L15+P15</f>
        <v>-50</v>
      </c>
      <c r="U15" s="15">
        <f ca="1">E15+I15+M15+Q15</f>
        <v>-50</v>
      </c>
      <c r="V15" s="15">
        <f t="shared" ca="1" si="1"/>
        <v>0</v>
      </c>
      <c r="W15" s="34">
        <f t="shared" ca="1" si="6"/>
        <v>0</v>
      </c>
      <c r="Y15" s="26">
        <v>45975</v>
      </c>
      <c r="Z15" s="26" t="s">
        <v>532</v>
      </c>
      <c r="AG15" s="15"/>
    </row>
    <row r="16" spans="1:33" x14ac:dyDescent="0.25">
      <c r="B16" s="23">
        <v>11</v>
      </c>
      <c r="C16" s="32" t="s">
        <v>38</v>
      </c>
      <c r="D16" s="15">
        <v>-175.4</v>
      </c>
      <c r="E16" s="15">
        <f>SUMIF('2025 in&amp;out'!A4:A158,"11",'2025 in&amp;out'!E4:E158)</f>
        <v>-160.39999999999998</v>
      </c>
      <c r="F16" s="15"/>
      <c r="G16" s="34"/>
      <c r="H16" s="75">
        <v>-148.62</v>
      </c>
      <c r="I16" s="15">
        <f>SUMIF('2025 in&amp;out'!A159:A283,"11",'2025 in&amp;out'!E159:E283)</f>
        <v>-179.38</v>
      </c>
      <c r="J16" s="15"/>
      <c r="K16" s="34"/>
      <c r="L16" s="75">
        <v>-114.77000000000001</v>
      </c>
      <c r="M16" s="15">
        <f ca="1">SUMIF('2025 in&amp;out'!A284:E404,"11",'2025 in&amp;out'!E284:E404)</f>
        <v>-217.73000000000002</v>
      </c>
      <c r="N16" s="15"/>
      <c r="O16" s="34"/>
      <c r="P16" s="75">
        <v>-153.38</v>
      </c>
      <c r="Q16" s="15">
        <f>SUMIF('2025 in&amp;out'!A405:A610,"11",'2025 in&amp;out'!E405:E610)</f>
        <v>-360.53999999999996</v>
      </c>
      <c r="R16" s="15"/>
      <c r="S16" s="33"/>
      <c r="T16" s="75">
        <f>D16+H16+L16+P16</f>
        <v>-592.16999999999996</v>
      </c>
      <c r="U16" s="15">
        <f ca="1">E16+I16+M16+Q16</f>
        <v>-918.05</v>
      </c>
      <c r="V16" s="15">
        <f t="shared" ca="1" si="1"/>
        <v>-325.88</v>
      </c>
      <c r="W16" s="34">
        <f t="shared" ca="1" si="6"/>
        <v>0.55031494334397224</v>
      </c>
      <c r="X16" t="s">
        <v>521</v>
      </c>
      <c r="Y16" s="26">
        <v>45932</v>
      </c>
      <c r="Z16" t="s">
        <v>533</v>
      </c>
    </row>
    <row r="17" spans="2:26" x14ac:dyDescent="0.25">
      <c r="B17" s="23">
        <v>12</v>
      </c>
      <c r="C17" s="32" t="s">
        <v>13</v>
      </c>
      <c r="D17" s="15">
        <v>-1000</v>
      </c>
      <c r="E17" s="15">
        <f>SUMIF('2025 in&amp;out'!A4:A158,"12",'2025 in&amp;out'!E4:E158)</f>
        <v>0</v>
      </c>
      <c r="F17" s="15"/>
      <c r="G17" s="34"/>
      <c r="H17" s="75">
        <v>1000</v>
      </c>
      <c r="I17" s="15">
        <f>SUMIF('2025 in&amp;out'!A159:A283,"12",'2025 in&amp;out'!E159:E283)</f>
        <v>0</v>
      </c>
      <c r="J17" s="15"/>
      <c r="K17" s="34"/>
      <c r="L17" s="75">
        <v>-3806.54</v>
      </c>
      <c r="M17" s="15">
        <f ca="1">SUMIF('2025 in&amp;out'!A284:E404,"12",'2025 in&amp;out'!E284:E404)</f>
        <v>-4704.99</v>
      </c>
      <c r="N17" s="15"/>
      <c r="O17" s="34"/>
      <c r="P17" s="75">
        <v>33</v>
      </c>
      <c r="Q17" s="15">
        <f>SUMIF('2025 in&amp;out'!A405:A610,"12",'2025 in&amp;out'!E405:E610)</f>
        <v>0</v>
      </c>
      <c r="R17" s="15"/>
      <c r="S17" s="33"/>
      <c r="T17" s="75">
        <f t="shared" ref="T17:T32" si="8">D17+H17+L17+P17</f>
        <v>-3773.54</v>
      </c>
      <c r="U17" s="15">
        <f t="shared" ca="1" si="0"/>
        <v>-4704.99</v>
      </c>
      <c r="V17" s="15">
        <f t="shared" ca="1" si="1"/>
        <v>-931.44999999999982</v>
      </c>
      <c r="W17" s="34">
        <f t="shared" ca="1" si="6"/>
        <v>0.24683718736252958</v>
      </c>
      <c r="X17" t="s">
        <v>521</v>
      </c>
      <c r="Y17" s="26">
        <v>45723</v>
      </c>
      <c r="Z17" t="s">
        <v>534</v>
      </c>
    </row>
    <row r="18" spans="2:26" x14ac:dyDescent="0.25">
      <c r="B18" s="23">
        <v>13</v>
      </c>
      <c r="C18" s="32" t="s">
        <v>39</v>
      </c>
      <c r="D18" s="15">
        <v>-368.28000000000003</v>
      </c>
      <c r="E18" s="15">
        <f>SUMIF('2025 in&amp;out'!A4:A158,"13",'2025 in&amp;out'!E4:E158)</f>
        <v>-557.6</v>
      </c>
      <c r="F18" s="15"/>
      <c r="G18" s="34"/>
      <c r="H18" s="75">
        <v>-364.44</v>
      </c>
      <c r="I18" s="15">
        <f>SUMIF('2025 in&amp;out'!A159:A283,"13",'2025 in&amp;out'!E159:E283)</f>
        <v>-239.72</v>
      </c>
      <c r="J18" s="15"/>
      <c r="K18" s="34"/>
      <c r="L18" s="75">
        <v>-222.87</v>
      </c>
      <c r="M18" s="15">
        <f ca="1">SUMIF('2025 in&amp;out'!A284:E404,"13",'2025 in&amp;out'!E284:E404)</f>
        <v>-460.97</v>
      </c>
      <c r="N18" s="15"/>
      <c r="O18" s="34"/>
      <c r="P18" s="75">
        <v>-129.44999999999999</v>
      </c>
      <c r="Q18" s="15">
        <f>SUMIF('2025 in&amp;out'!A405:A610,"13",'2025 in&amp;out'!E405:E610)</f>
        <v>-663.06</v>
      </c>
      <c r="R18" s="15"/>
      <c r="S18" s="33"/>
      <c r="T18" s="75">
        <f t="shared" si="8"/>
        <v>-1085.04</v>
      </c>
      <c r="U18" s="15">
        <f t="shared" ca="1" si="0"/>
        <v>-1921.35</v>
      </c>
      <c r="V18" s="15">
        <f t="shared" ca="1" si="1"/>
        <v>-836.31</v>
      </c>
      <c r="W18" s="34">
        <f t="shared" ca="1" si="6"/>
        <v>0.77076421145764207</v>
      </c>
      <c r="X18" t="s">
        <v>521</v>
      </c>
      <c r="Y18" s="26">
        <v>45778</v>
      </c>
      <c r="Z18" t="s">
        <v>535</v>
      </c>
    </row>
    <row r="19" spans="2:26" x14ac:dyDescent="0.25">
      <c r="B19" s="23">
        <v>14</v>
      </c>
      <c r="C19" s="32" t="s">
        <v>40</v>
      </c>
      <c r="D19" s="15">
        <v>-862.81000000000006</v>
      </c>
      <c r="E19" s="15">
        <f>SUMIF('2025 in&amp;out'!A4:A158,"14",'2025 in&amp;out'!E4:E158)</f>
        <v>-2454.81</v>
      </c>
      <c r="F19" s="15"/>
      <c r="G19" s="34"/>
      <c r="H19" s="75">
        <v>-1815.9900000000002</v>
      </c>
      <c r="I19" s="15">
        <f>SUMIF('2025 in&amp;out'!A159:A283,"14",'2025 in&amp;out'!E159:E283)</f>
        <v>-1551.7099999999998</v>
      </c>
      <c r="J19" s="15"/>
      <c r="K19" s="34"/>
      <c r="L19" s="75">
        <v>-532.62</v>
      </c>
      <c r="M19" s="15">
        <f ca="1">SUMIF('2025 in&amp;out'!A284:E404,"14",'2025 in&amp;out'!E284:E404)</f>
        <v>-361.89</v>
      </c>
      <c r="N19" s="15"/>
      <c r="O19" s="34"/>
      <c r="P19" s="75">
        <v>0</v>
      </c>
      <c r="Q19" s="15">
        <f>SUMIF('2025 in&amp;out'!A405:A610,"14",'2025 in&amp;out'!E405:E610)</f>
        <v>-305.51</v>
      </c>
      <c r="R19" s="15"/>
      <c r="S19" s="33"/>
      <c r="T19" s="75">
        <f t="shared" si="8"/>
        <v>-3211.42</v>
      </c>
      <c r="U19" s="15">
        <f t="shared" ca="1" si="0"/>
        <v>-4673.92</v>
      </c>
      <c r="V19" s="15">
        <f t="shared" ca="1" si="1"/>
        <v>-1462.5</v>
      </c>
      <c r="W19" s="34">
        <f t="shared" ca="1" si="6"/>
        <v>0.45540601976695666</v>
      </c>
      <c r="X19" t="s">
        <v>521</v>
      </c>
      <c r="Y19" s="26">
        <v>45814</v>
      </c>
      <c r="Z19" t="s">
        <v>536</v>
      </c>
    </row>
    <row r="20" spans="2:26" x14ac:dyDescent="0.25">
      <c r="B20" s="23">
        <v>15</v>
      </c>
      <c r="C20" s="32" t="s">
        <v>23</v>
      </c>
      <c r="D20" s="15">
        <v>-1837.5</v>
      </c>
      <c r="E20" s="15">
        <f>SUMIF('2025 in&amp;out'!A4:A158,"15",'2025 in&amp;out'!E4:E158)</f>
        <v>-1837.5</v>
      </c>
      <c r="F20" s="15"/>
      <c r="G20" s="34"/>
      <c r="H20" s="75">
        <v>-1837.5</v>
      </c>
      <c r="I20" s="15">
        <f>SUMIF('2025 in&amp;out'!A159:A283,"15",'2025 in&amp;out'!E159:E283)</f>
        <v>-1837.5</v>
      </c>
      <c r="J20" s="15"/>
      <c r="K20" s="34"/>
      <c r="L20" s="75">
        <v>-1837.5</v>
      </c>
      <c r="M20" s="15">
        <f ca="1">SUMIF('2025 in&amp;out'!A284:E404,"15",'2025 in&amp;out'!E284:E404)</f>
        <v>-1837.5</v>
      </c>
      <c r="N20" s="15"/>
      <c r="O20" s="34"/>
      <c r="P20" s="75">
        <v>-1837.5</v>
      </c>
      <c r="Q20" s="15">
        <f>SUMIF('2025 in&amp;out'!A405:A610,"15",'2025 in&amp;out'!E405:E610)</f>
        <v>-1837.5</v>
      </c>
      <c r="R20" s="15"/>
      <c r="S20" s="33"/>
      <c r="T20" s="75">
        <f t="shared" si="8"/>
        <v>-7350</v>
      </c>
      <c r="U20" s="15">
        <f t="shared" ca="1" si="0"/>
        <v>-7350</v>
      </c>
      <c r="V20" s="15">
        <f t="shared" ca="1" si="1"/>
        <v>0</v>
      </c>
      <c r="W20" s="34">
        <f t="shared" ca="1" si="6"/>
        <v>0</v>
      </c>
    </row>
    <row r="21" spans="2:26" x14ac:dyDescent="0.25">
      <c r="B21" s="23">
        <v>16</v>
      </c>
      <c r="C21" s="32" t="s">
        <v>150</v>
      </c>
      <c r="D21" s="15">
        <v>-133.56</v>
      </c>
      <c r="E21" s="15">
        <f>SUMIF('2025 in&amp;out'!A4:A158,"16",'2025 in&amp;out'!E4:E158)</f>
        <v>-222.29999999999995</v>
      </c>
      <c r="F21" s="15"/>
      <c r="G21" s="34"/>
      <c r="H21" s="75">
        <v>-106.72</v>
      </c>
      <c r="I21" s="15">
        <f>SUMIF('2025 in&amp;out'!A159:A283,"16",'2025 in&amp;out'!E159:E283)</f>
        <v>-219.98999999999995</v>
      </c>
      <c r="J21" s="15"/>
      <c r="K21" s="34"/>
      <c r="L21" s="75">
        <v>-143.94</v>
      </c>
      <c r="M21" s="15">
        <f ca="1">SUMIF('2025 in&amp;out'!A284:E404,"16",'2025 in&amp;out'!E284:E404)</f>
        <v>-212.21999999999997</v>
      </c>
      <c r="N21" s="15"/>
      <c r="O21" s="34"/>
      <c r="P21" s="75">
        <v>-150.29999999999998</v>
      </c>
      <c r="Q21" s="15">
        <f>SUMIF('2025 in&amp;out'!A404:A610,"16",'2025 in&amp;out'!E404:E610)</f>
        <v>-212.33999999999995</v>
      </c>
      <c r="R21" s="15"/>
      <c r="S21" s="33"/>
      <c r="T21" s="75">
        <f t="shared" si="8"/>
        <v>-534.52</v>
      </c>
      <c r="U21" s="15">
        <f t="shared" ca="1" si="0"/>
        <v>-866.8499999999998</v>
      </c>
      <c r="V21" s="15">
        <f t="shared" ca="1" si="1"/>
        <v>-332.32999999999981</v>
      </c>
      <c r="W21" s="34">
        <f t="shared" ca="1" si="6"/>
        <v>0.62173538876000867</v>
      </c>
      <c r="Z21" t="s">
        <v>553</v>
      </c>
    </row>
    <row r="22" spans="2:26" x14ac:dyDescent="0.25">
      <c r="B22" s="23">
        <v>17</v>
      </c>
      <c r="C22" s="32" t="s">
        <v>42</v>
      </c>
      <c r="D22" s="15">
        <v>0</v>
      </c>
      <c r="E22" s="15">
        <f>SUMIF('2025 in&amp;out'!A4:A158,"17",'2025 in&amp;out'!E4:E158)</f>
        <v>-3.49</v>
      </c>
      <c r="F22" s="15"/>
      <c r="G22" s="34"/>
      <c r="H22" s="75">
        <v>-10.68</v>
      </c>
      <c r="I22" s="15">
        <f>SUMIF('2025 in&amp;out'!A159:A283,"17",'2025 in&amp;out'!E159:E283)</f>
        <v>0</v>
      </c>
      <c r="J22" s="15"/>
      <c r="K22" s="34"/>
      <c r="L22" s="75">
        <v>0</v>
      </c>
      <c r="M22" s="15">
        <f ca="1">SUMIF('2025 in&amp;out'!A284:E404,"17",'2025 in&amp;out'!E284:E404)</f>
        <v>-36.450000000000003</v>
      </c>
      <c r="N22" s="15"/>
      <c r="O22" s="34"/>
      <c r="P22" s="75">
        <v>-42.050000000000004</v>
      </c>
      <c r="Q22" s="15">
        <f>SUMIF('2025 in&amp;out'!A405:A610,"17",'2025 in&amp;out'!E405:E610)</f>
        <v>0</v>
      </c>
      <c r="R22" s="15"/>
      <c r="S22" s="33"/>
      <c r="T22" s="75">
        <f t="shared" si="8"/>
        <v>-52.730000000000004</v>
      </c>
      <c r="U22" s="15">
        <f t="shared" ca="1" si="0"/>
        <v>-39.940000000000005</v>
      </c>
      <c r="V22" s="15">
        <f t="shared" ca="1" si="1"/>
        <v>12.79</v>
      </c>
      <c r="W22" s="34">
        <f t="shared" ca="1" si="6"/>
        <v>-0.2425564194955433</v>
      </c>
      <c r="Y22" t="s">
        <v>554</v>
      </c>
    </row>
    <row r="23" spans="2:26" x14ac:dyDescent="0.25">
      <c r="B23" s="23">
        <v>18</v>
      </c>
      <c r="C23" s="32" t="s">
        <v>43</v>
      </c>
      <c r="D23" s="15">
        <v>0</v>
      </c>
      <c r="E23" s="15">
        <f>SUMIF('2025 in&amp;out'!A4:A158,"18",'2025 in&amp;out'!E4:E158)</f>
        <v>0</v>
      </c>
      <c r="F23" s="15"/>
      <c r="G23" s="34"/>
      <c r="H23" s="75">
        <v>-60</v>
      </c>
      <c r="I23" s="15">
        <f>SUMIF('2025 in&amp;out'!A159:A283,"18",'2025 in&amp;out'!E159:E283)</f>
        <v>0</v>
      </c>
      <c r="J23" s="15"/>
      <c r="K23" s="34"/>
      <c r="L23" s="75">
        <v>-70</v>
      </c>
      <c r="M23" s="15">
        <f ca="1">SUMIF('2025 in&amp;out'!A284:E404,"18",'2025 in&amp;out'!E284:E404)</f>
        <v>-70</v>
      </c>
      <c r="N23" s="15"/>
      <c r="O23" s="34"/>
      <c r="P23" s="75">
        <v>0</v>
      </c>
      <c r="Q23" s="15">
        <f>SUMIF('2025 in&amp;out'!A405:A610,"18",'2025 in&amp;out'!E405:E610)</f>
        <v>0</v>
      </c>
      <c r="R23" s="15"/>
      <c r="S23" s="33"/>
      <c r="T23" s="75">
        <f t="shared" si="8"/>
        <v>-130</v>
      </c>
      <c r="U23" s="15">
        <f t="shared" ca="1" si="0"/>
        <v>-70</v>
      </c>
      <c r="V23" s="15">
        <f t="shared" ca="1" si="1"/>
        <v>60</v>
      </c>
      <c r="W23" s="34">
        <f t="shared" ca="1" si="6"/>
        <v>-0.46153846153846156</v>
      </c>
      <c r="Y23" t="s">
        <v>555</v>
      </c>
    </row>
    <row r="24" spans="2:26" x14ac:dyDescent="0.25">
      <c r="B24" s="23">
        <v>19</v>
      </c>
      <c r="C24" s="32" t="s">
        <v>44</v>
      </c>
      <c r="D24" s="15">
        <v>-216.82</v>
      </c>
      <c r="E24" s="15">
        <f>SUMIF('2025 in&amp;out'!A4:A158,"19",'2025 in&amp;out'!E4:E158)</f>
        <v>-1379.7099999999998</v>
      </c>
      <c r="F24" s="15"/>
      <c r="G24" s="34"/>
      <c r="H24" s="75">
        <v>-1712.0300000000002</v>
      </c>
      <c r="I24" s="15">
        <f>SUMIF('2025 in&amp;out'!A159:A283,"19",'2025 in&amp;out'!E159:E283)</f>
        <v>-16875.739999999998</v>
      </c>
      <c r="J24" s="15"/>
      <c r="K24" s="34"/>
      <c r="L24" s="75">
        <v>-6812.18</v>
      </c>
      <c r="M24" s="15">
        <f ca="1">SUMIF('2025 in&amp;out'!A284:E404,"19",'2025 in&amp;out'!E284:E404)</f>
        <v>-2122</v>
      </c>
      <c r="N24" s="15"/>
      <c r="O24" s="34"/>
      <c r="P24" s="75">
        <v>-17915.93</v>
      </c>
      <c r="Q24" s="15">
        <f>SUMIF('2025 in&amp;out'!A405:A610,"19",'2025 in&amp;out'!E405:E610)</f>
        <v>-7495.0199999999995</v>
      </c>
      <c r="R24" s="15"/>
      <c r="S24" s="33"/>
      <c r="T24" s="75">
        <f t="shared" si="8"/>
        <v>-26656.959999999999</v>
      </c>
      <c r="U24" s="15">
        <f t="shared" ca="1" si="0"/>
        <v>-27872.469999999998</v>
      </c>
      <c r="V24" s="15">
        <f t="shared" ca="1" si="1"/>
        <v>-1215.5099999999984</v>
      </c>
      <c r="W24" s="34">
        <f t="shared" ca="1" si="6"/>
        <v>4.5598222753082063E-2</v>
      </c>
      <c r="X24" t="s">
        <v>521</v>
      </c>
    </row>
    <row r="25" spans="2:26" x14ac:dyDescent="0.25">
      <c r="B25" s="23">
        <v>20</v>
      </c>
      <c r="C25" s="32" t="s">
        <v>45</v>
      </c>
      <c r="D25" s="15">
        <v>-147.44999999999999</v>
      </c>
      <c r="E25" s="15">
        <f>SUMIF('2025 in&amp;out'!A4:A158,"20",'2025 in&amp;out'!E4:E158)</f>
        <v>-207.71</v>
      </c>
      <c r="F25" s="15"/>
      <c r="G25" s="34"/>
      <c r="H25" s="75">
        <v>-161.93</v>
      </c>
      <c r="I25" s="15">
        <f>SUMIF('2025 in&amp;out'!A159:A283,"20",'2025 in&amp;out'!E159:E283)</f>
        <v>0</v>
      </c>
      <c r="J25" s="15"/>
      <c r="K25" s="34"/>
      <c r="L25" s="75">
        <v>0</v>
      </c>
      <c r="M25" s="15">
        <f ca="1">SUMIF('2025 in&amp;out'!A284:E404,"20",'2025 in&amp;out'!E284:E404)</f>
        <v>-13.88</v>
      </c>
      <c r="N25" s="15"/>
      <c r="O25" s="34"/>
      <c r="P25" s="75">
        <v>-22.15</v>
      </c>
      <c r="Q25" s="15">
        <f>SUMIF('2025 in&amp;out'!A405:A610,"20",'2025 in&amp;out'!E405:E610)</f>
        <v>-169.97</v>
      </c>
      <c r="R25" s="15"/>
      <c r="S25" s="33"/>
      <c r="T25" s="75">
        <f t="shared" si="8"/>
        <v>-331.53</v>
      </c>
      <c r="U25" s="15">
        <f t="shared" ca="1" si="0"/>
        <v>-391.56</v>
      </c>
      <c r="V25" s="15">
        <f t="shared" ca="1" si="1"/>
        <v>-60.03000000000003</v>
      </c>
      <c r="W25" s="34">
        <f t="shared" ca="1" si="6"/>
        <v>0.18106958646276367</v>
      </c>
    </row>
    <row r="26" spans="2:26" x14ac:dyDescent="0.25">
      <c r="B26" s="23">
        <v>21</v>
      </c>
      <c r="C26" s="32" t="s">
        <v>46</v>
      </c>
      <c r="D26" s="15">
        <v>-35.57</v>
      </c>
      <c r="E26" s="15">
        <f>SUMIF('2025 in&amp;out'!A4:A158,"21",'2025 in&amp;out'!E4:E158)</f>
        <v>-50.980000000000004</v>
      </c>
      <c r="F26" s="15"/>
      <c r="G26" s="34"/>
      <c r="H26" s="75">
        <v>-23.79</v>
      </c>
      <c r="I26" s="15">
        <f>SUMIF('2025 in&amp;out'!A159:A283,"21",'2025 in&amp;out'!E159:E283)</f>
        <v>-27.5</v>
      </c>
      <c r="J26" s="15"/>
      <c r="K26" s="34"/>
      <c r="L26" s="75">
        <v>-28.45</v>
      </c>
      <c r="M26" s="15">
        <f ca="1">SUMIF('2025 in&amp;out'!A284:E404,"21",'2025 in&amp;out'!E284:E404)</f>
        <v>-73.099999999999994</v>
      </c>
      <c r="N26" s="15" t="s">
        <v>51</v>
      </c>
      <c r="O26" s="34"/>
      <c r="P26" s="75">
        <v>-176.77</v>
      </c>
      <c r="Q26" s="15">
        <f>SUMIF('2025 in&amp;out'!A405:A610,"21",'2025 in&amp;out'!E405:E610)</f>
        <v>0</v>
      </c>
      <c r="R26" s="15"/>
      <c r="S26" s="33"/>
      <c r="T26" s="75">
        <f t="shared" si="8"/>
        <v>-264.58000000000004</v>
      </c>
      <c r="U26" s="15">
        <f t="shared" ca="1" si="0"/>
        <v>-151.57999999999998</v>
      </c>
      <c r="V26" s="15">
        <f t="shared" ca="1" si="1"/>
        <v>113.00000000000006</v>
      </c>
      <c r="W26" s="34">
        <f t="shared" ca="1" si="6"/>
        <v>-0.42709199485977789</v>
      </c>
      <c r="Z26" s="11"/>
    </row>
    <row r="27" spans="2:26" x14ac:dyDescent="0.25">
      <c r="B27" s="23">
        <v>22</v>
      </c>
      <c r="C27" s="32" t="s">
        <v>47</v>
      </c>
      <c r="D27" s="15">
        <v>0</v>
      </c>
      <c r="E27" s="15">
        <f>SUMIF('2025 in&amp;out'!A4:A158,"22",'2025 in&amp;out'!E4:E158)</f>
        <v>0</v>
      </c>
      <c r="F27" s="15"/>
      <c r="G27" s="34"/>
      <c r="H27" s="75">
        <v>-339.78999999999996</v>
      </c>
      <c r="I27" s="15">
        <f>SUMIF('2025 in&amp;out'!A159:A283,"22",'2025 in&amp;out'!E159:E283)</f>
        <v>-254.14</v>
      </c>
      <c r="J27" s="15"/>
      <c r="K27" s="34"/>
      <c r="L27" s="75">
        <v>-221.86</v>
      </c>
      <c r="M27" s="15">
        <f ca="1">SUMIF('2025 in&amp;out'!A284:E404,"22",'2025 in&amp;out'!E284:E404)</f>
        <v>-332.46</v>
      </c>
      <c r="N27" s="15"/>
      <c r="O27" s="34"/>
      <c r="P27" s="75">
        <v>-396</v>
      </c>
      <c r="Q27" s="15">
        <f>SUMIF('2025 in&amp;out'!A405:A610,"22",'2025 in&amp;out'!E405:E610)</f>
        <v>-180</v>
      </c>
      <c r="R27" s="15"/>
      <c r="S27" s="33"/>
      <c r="T27" s="75">
        <f t="shared" si="8"/>
        <v>-957.65</v>
      </c>
      <c r="U27" s="15">
        <f t="shared" ca="1" si="0"/>
        <v>-766.59999999999991</v>
      </c>
      <c r="V27" s="15">
        <f t="shared" ca="1" si="1"/>
        <v>191.05000000000007</v>
      </c>
      <c r="W27" s="34">
        <f t="shared" ca="1" si="6"/>
        <v>-0.19949877303816643</v>
      </c>
    </row>
    <row r="28" spans="2:26" x14ac:dyDescent="0.25">
      <c r="B28" s="23">
        <v>23</v>
      </c>
      <c r="C28" s="32" t="s">
        <v>27</v>
      </c>
      <c r="D28" s="15">
        <v>-195.12</v>
      </c>
      <c r="E28" s="15">
        <f>SUMIF('2025 in&amp;out'!A4:A158,"23",'2025 in&amp;out'!E4:E158)</f>
        <v>-49.910000000000004</v>
      </c>
      <c r="F28" s="15"/>
      <c r="G28" s="34"/>
      <c r="H28" s="75">
        <v>-122.07999999999998</v>
      </c>
      <c r="I28" s="15">
        <f>SUMIF('2025 in&amp;out'!A159:A283,"23",'2025 in&amp;out'!E159:E283)</f>
        <v>-87.2</v>
      </c>
      <c r="J28" s="15"/>
      <c r="K28" s="34"/>
      <c r="L28" s="75">
        <v>-85.56</v>
      </c>
      <c r="M28" s="15">
        <f ca="1">SUMIF('2025 in&amp;out'!A284:E404,"23",'2025 in&amp;out'!E284:E404)</f>
        <v>-117.36</v>
      </c>
      <c r="N28" s="15"/>
      <c r="O28" s="34"/>
      <c r="P28" s="75">
        <v>-85.56</v>
      </c>
      <c r="Q28" s="15">
        <f>SUMIF('2025 in&amp;out'!A405:A610,"23",'2025 in&amp;out'!E405:E610)</f>
        <v>-58.68</v>
      </c>
      <c r="R28" s="15"/>
      <c r="S28" s="33"/>
      <c r="T28" s="75">
        <f t="shared" si="8"/>
        <v>-488.32</v>
      </c>
      <c r="U28" s="15">
        <f t="shared" ca="1" si="0"/>
        <v>-313.15000000000003</v>
      </c>
      <c r="V28" s="15">
        <f t="shared" ca="1" si="1"/>
        <v>175.16999999999996</v>
      </c>
      <c r="W28" s="34">
        <f t="shared" ca="1" si="6"/>
        <v>-0.3587196920052424</v>
      </c>
      <c r="X28" t="s">
        <v>521</v>
      </c>
      <c r="Z28" s="11"/>
    </row>
    <row r="29" spans="2:26" x14ac:dyDescent="0.25">
      <c r="B29" s="23">
        <v>24</v>
      </c>
      <c r="C29" s="32" t="s">
        <v>28</v>
      </c>
      <c r="D29" s="15">
        <v>-297</v>
      </c>
      <c r="E29" s="15">
        <f>SUMIF('2025 in&amp;out'!A4:A158,"24",'2025 in&amp;out'!E4:E158)</f>
        <v>-324</v>
      </c>
      <c r="F29" s="15"/>
      <c r="G29" s="34"/>
      <c r="H29" s="75">
        <v>0</v>
      </c>
      <c r="I29" s="15">
        <f>SUMIF('2025 in&amp;out'!A159:A283,"24",'2025 in&amp;out'!E159:E283)</f>
        <v>0</v>
      </c>
      <c r="J29" s="15"/>
      <c r="K29" s="34"/>
      <c r="L29" s="75">
        <v>-162</v>
      </c>
      <c r="M29" s="15">
        <f ca="1">SUMIF('2025 in&amp;out'!A284:E404,"24",'2025 in&amp;out'!E284:E404)</f>
        <v>-210</v>
      </c>
      <c r="N29" s="15"/>
      <c r="O29" s="34"/>
      <c r="P29" s="75">
        <v>0</v>
      </c>
      <c r="Q29" s="15">
        <f>SUMIF('2025 in&amp;out'!A405:A610,"24",'2025 in&amp;out'!E405:E610)</f>
        <v>0</v>
      </c>
      <c r="R29" s="15"/>
      <c r="S29" s="33"/>
      <c r="T29" s="75">
        <f t="shared" si="8"/>
        <v>-459</v>
      </c>
      <c r="U29" s="15">
        <f t="shared" ca="1" si="0"/>
        <v>-534</v>
      </c>
      <c r="V29" s="15">
        <f t="shared" ca="1" si="1"/>
        <v>-75</v>
      </c>
      <c r="W29" s="34">
        <f t="shared" ca="1" si="6"/>
        <v>0.16339869281045752</v>
      </c>
    </row>
    <row r="30" spans="2:26" x14ac:dyDescent="0.25">
      <c r="B30" s="23">
        <v>25</v>
      </c>
      <c r="C30" s="32" t="s">
        <v>49</v>
      </c>
      <c r="D30" s="15">
        <v>0</v>
      </c>
      <c r="E30" s="15">
        <f>SUMIF('2025 in&amp;out'!A4:A158,"25",'2025 in&amp;out'!E4:E158)</f>
        <v>-80</v>
      </c>
      <c r="F30" s="15"/>
      <c r="G30" s="34"/>
      <c r="H30" s="75">
        <v>-120</v>
      </c>
      <c r="I30" s="15">
        <f>SUMIF('2025 in&amp;out'!A159:A283,"25",'2025 in&amp;out'!E159:E283)</f>
        <v>0</v>
      </c>
      <c r="J30" s="15"/>
      <c r="K30" s="34"/>
      <c r="L30" s="75">
        <v>0</v>
      </c>
      <c r="M30" s="15">
        <f ca="1">SUMIF('2025 in&amp;out'!A284:E404,"25",'2025 in&amp;out'!E284:E404)</f>
        <v>-140</v>
      </c>
      <c r="N30" s="15"/>
      <c r="O30" s="34"/>
      <c r="P30" s="75">
        <v>-140</v>
      </c>
      <c r="Q30" s="15">
        <f>SUMIF('2025 in&amp;out'!A405:A610,"25",'2025 in&amp;out'!E405:E610)</f>
        <v>-40</v>
      </c>
      <c r="R30" s="15"/>
      <c r="S30" s="33"/>
      <c r="T30" s="75">
        <f t="shared" si="8"/>
        <v>-260</v>
      </c>
      <c r="U30" s="15">
        <f t="shared" ca="1" si="0"/>
        <v>-260</v>
      </c>
      <c r="V30" s="15">
        <f t="shared" ca="1" si="1"/>
        <v>0</v>
      </c>
      <c r="W30" s="34">
        <f t="shared" ca="1" si="6"/>
        <v>0</v>
      </c>
      <c r="Z30" s="11"/>
    </row>
    <row r="31" spans="2:26" x14ac:dyDescent="0.25">
      <c r="B31" s="23">
        <v>26</v>
      </c>
      <c r="C31" s="32" t="s">
        <v>137</v>
      </c>
      <c r="D31" s="15">
        <v>0</v>
      </c>
      <c r="E31" s="15">
        <f>SUMIF('2025 in&amp;out'!A4:A158,"26",'2025 in&amp;out'!E4:E158)</f>
        <v>0</v>
      </c>
      <c r="F31" s="15"/>
      <c r="G31" s="34"/>
      <c r="H31" s="75">
        <v>0</v>
      </c>
      <c r="I31" s="15">
        <f>SUMIF('2025 in&amp;out'!A159:A283,"26",'2025 in&amp;out'!E159:E283)</f>
        <v>0</v>
      </c>
      <c r="J31" s="15"/>
      <c r="K31" s="34"/>
      <c r="L31" s="75">
        <v>0</v>
      </c>
      <c r="M31" s="15">
        <f ca="1">SUMIF('2025 in&amp;out'!A284:E404,"26",'2025 in&amp;out'!E284:E404)</f>
        <v>0</v>
      </c>
      <c r="N31" s="15"/>
      <c r="O31" s="34"/>
      <c r="P31" s="75">
        <v>0</v>
      </c>
      <c r="Q31" s="15">
        <f>SUMIF('2025 in&amp;out'!A405:A610,"26",'2025 in&amp;out'!E405:E610)</f>
        <v>0</v>
      </c>
      <c r="R31" s="15"/>
      <c r="S31" s="33"/>
      <c r="T31" s="75">
        <f t="shared" si="8"/>
        <v>0</v>
      </c>
      <c r="U31" s="15">
        <v>0</v>
      </c>
      <c r="V31" s="15">
        <v>0</v>
      </c>
      <c r="W31" s="34"/>
    </row>
    <row r="32" spans="2:26" x14ac:dyDescent="0.25">
      <c r="B32" s="25"/>
      <c r="C32" s="18" t="s">
        <v>48</v>
      </c>
      <c r="D32" s="59">
        <v>-5282.0099999999993</v>
      </c>
      <c r="E32" s="59">
        <f>SUM(E15:E31)</f>
        <v>-7340.9099999999989</v>
      </c>
      <c r="F32" s="59">
        <f>D32-E32</f>
        <v>2058.8999999999996</v>
      </c>
      <c r="G32" s="60">
        <f>F32/D32*-1</f>
        <v>0.38979479402727368</v>
      </c>
      <c r="H32" s="78">
        <v>-5836.07</v>
      </c>
      <c r="I32" s="59">
        <f>SUM(I15:I31)</f>
        <v>-21285.379999999997</v>
      </c>
      <c r="J32" s="59">
        <f>H32-I32</f>
        <v>15449.309999999998</v>
      </c>
      <c r="K32" s="60">
        <f>J32/H32*-1</f>
        <v>2.6472112226207019</v>
      </c>
      <c r="L32" s="78">
        <v>-14050.79</v>
      </c>
      <c r="M32" s="59">
        <f ca="1">SUM(M15:M31)</f>
        <v>-10923.05</v>
      </c>
      <c r="N32" s="59">
        <f ca="1">L32-M32</f>
        <v>-3127.7400000000016</v>
      </c>
      <c r="O32" s="60">
        <f ca="1">N32/L32*-1</f>
        <v>-0.22260243018364101</v>
      </c>
      <c r="P32" s="78">
        <v>-21028.590000000004</v>
      </c>
      <c r="Q32" s="59">
        <f>SUM(Q15:Q31)</f>
        <v>-11335.119999999999</v>
      </c>
      <c r="R32" s="59">
        <f>P32-Q32</f>
        <v>-9693.4700000000048</v>
      </c>
      <c r="S32" s="60">
        <f>R32/P32*-1</f>
        <v>-0.46096623691840505</v>
      </c>
      <c r="T32" s="75">
        <f t="shared" si="8"/>
        <v>-46197.460000000006</v>
      </c>
      <c r="U32" s="59">
        <f ca="1">SUM(U15:U31)</f>
        <v>-50884.459999999992</v>
      </c>
      <c r="V32" s="59">
        <f ca="1">SUM(V15:V31)</f>
        <v>-4686.9999999999982</v>
      </c>
      <c r="W32" s="58">
        <f t="shared" ca="1" si="6"/>
        <v>0.10145579432289129</v>
      </c>
    </row>
    <row r="33" spans="2:25" x14ac:dyDescent="0.25">
      <c r="B33" s="23"/>
      <c r="C33" s="16" t="s">
        <v>30</v>
      </c>
      <c r="D33" s="16">
        <v>567.99000000000069</v>
      </c>
      <c r="E33" s="16">
        <f>E14+E32</f>
        <v>-1975.9099999999989</v>
      </c>
      <c r="F33" s="16">
        <f>E33-D33</f>
        <v>-2543.8999999999996</v>
      </c>
      <c r="G33" s="50">
        <f>F33/D33</f>
        <v>-4.4787760347893384</v>
      </c>
      <c r="H33" s="79">
        <v>1038.9300000000003</v>
      </c>
      <c r="I33" s="16">
        <f>I14+I32</f>
        <v>45888.950000000004</v>
      </c>
      <c r="J33" s="16">
        <f>I33-H33</f>
        <v>44850.020000000004</v>
      </c>
      <c r="K33" s="51">
        <f>J33/H33*-1</f>
        <v>-43.169433936838857</v>
      </c>
      <c r="L33" s="79">
        <v>8287.59</v>
      </c>
      <c r="M33" s="16">
        <f ca="1">M14+M32</f>
        <v>-5548.8099999999995</v>
      </c>
      <c r="N33" s="16">
        <f ca="1">M33-L33</f>
        <v>-13836.4</v>
      </c>
      <c r="O33" s="51">
        <f ca="1">N33/L33*-1</f>
        <v>1.6695323972349017</v>
      </c>
      <c r="P33" s="79">
        <v>-1339.4500000000007</v>
      </c>
      <c r="Q33" s="16">
        <f>Q14+Q32</f>
        <v>-4672.619999999999</v>
      </c>
      <c r="R33" s="16">
        <f>Q33-P33</f>
        <v>-3333.1699999999983</v>
      </c>
      <c r="S33" s="50">
        <f>R33/P33</f>
        <v>2.4884616820336678</v>
      </c>
      <c r="T33" s="79">
        <v>8555.0599999999977</v>
      </c>
      <c r="U33" s="16">
        <f ca="1">U14+U32</f>
        <v>33691.610000000015</v>
      </c>
      <c r="V33" s="16">
        <f ca="1">U33-T33</f>
        <v>25136.550000000017</v>
      </c>
      <c r="W33" s="34">
        <f t="shared" ca="1" si="6"/>
        <v>2.9382084988299351</v>
      </c>
    </row>
    <row r="34" spans="2:25" x14ac:dyDescent="0.25">
      <c r="B34" s="13"/>
      <c r="C34" s="13"/>
    </row>
    <row r="35" spans="2:25" x14ac:dyDescent="0.25">
      <c r="B35" s="13"/>
      <c r="C35" s="29" t="s">
        <v>52</v>
      </c>
    </row>
    <row r="36" spans="2:25" x14ac:dyDescent="0.25">
      <c r="B36" s="13"/>
      <c r="C36" s="13"/>
      <c r="K36" t="s">
        <v>51</v>
      </c>
      <c r="L36" t="s">
        <v>51</v>
      </c>
    </row>
    <row r="37" spans="2:25" x14ac:dyDescent="0.25">
      <c r="B37" s="13"/>
      <c r="P37" s="26"/>
    </row>
    <row r="38" spans="2:25" x14ac:dyDescent="0.25">
      <c r="B38" s="13"/>
    </row>
    <row r="39" spans="2:25" x14ac:dyDescent="0.25">
      <c r="B39" s="13"/>
      <c r="C39" s="81"/>
      <c r="D39" s="81"/>
      <c r="E39" s="81"/>
      <c r="F39" s="81"/>
      <c r="G39" s="81"/>
      <c r="I39" s="23">
        <v>1</v>
      </c>
      <c r="J39" s="13" t="s">
        <v>17</v>
      </c>
      <c r="T39" t="s">
        <v>51</v>
      </c>
    </row>
    <row r="40" spans="2:25" x14ac:dyDescent="0.25">
      <c r="B40" s="13"/>
      <c r="C40" s="26"/>
      <c r="E40" s="62"/>
      <c r="F40" s="62"/>
      <c r="G40" s="62"/>
      <c r="I40" s="23">
        <v>2</v>
      </c>
      <c r="J40" s="13" t="s">
        <v>16</v>
      </c>
    </row>
    <row r="41" spans="2:25" x14ac:dyDescent="0.25">
      <c r="B41" s="13"/>
      <c r="C41" s="26"/>
      <c r="E41" s="12"/>
      <c r="G41" s="12"/>
      <c r="I41" s="23">
        <v>3</v>
      </c>
      <c r="J41" s="13" t="s">
        <v>19</v>
      </c>
    </row>
    <row r="42" spans="2:25" x14ac:dyDescent="0.25">
      <c r="B42" s="13"/>
      <c r="E42" s="12"/>
      <c r="G42" s="12"/>
      <c r="I42" s="23">
        <v>4</v>
      </c>
      <c r="J42" s="13" t="s">
        <v>22</v>
      </c>
      <c r="W42" s="26"/>
      <c r="X42" s="62"/>
      <c r="Y42" s="62"/>
    </row>
    <row r="43" spans="2:25" x14ac:dyDescent="0.25">
      <c r="B43" s="13"/>
      <c r="C43" s="41"/>
      <c r="E43" s="12"/>
      <c r="G43" s="12"/>
      <c r="I43" s="23">
        <v>5</v>
      </c>
      <c r="J43" s="13" t="s">
        <v>36</v>
      </c>
      <c r="W43" s="26"/>
      <c r="X43" s="12"/>
      <c r="Y43" s="12"/>
    </row>
    <row r="44" spans="2:25" x14ac:dyDescent="0.25">
      <c r="B44" s="13"/>
      <c r="C44" s="26"/>
      <c r="E44" s="12"/>
      <c r="G44" s="12"/>
      <c r="I44" s="23">
        <v>6</v>
      </c>
      <c r="J44" s="13" t="s">
        <v>24</v>
      </c>
      <c r="W44" s="26"/>
      <c r="X44" s="12"/>
      <c r="Y44" s="12"/>
    </row>
    <row r="45" spans="2:25" x14ac:dyDescent="0.25">
      <c r="B45" s="13"/>
      <c r="E45" s="12"/>
      <c r="G45" s="12"/>
      <c r="I45" s="23">
        <v>7</v>
      </c>
      <c r="J45" s="13" t="s">
        <v>20</v>
      </c>
      <c r="W45" s="26"/>
      <c r="X45" s="12"/>
      <c r="Y45" s="12"/>
    </row>
    <row r="46" spans="2:25" x14ac:dyDescent="0.25">
      <c r="B46" s="13"/>
      <c r="C46" s="26"/>
      <c r="E46" s="12"/>
      <c r="G46" s="12"/>
      <c r="I46" s="23">
        <v>8</v>
      </c>
      <c r="J46" s="13" t="s">
        <v>138</v>
      </c>
      <c r="W46" s="26"/>
      <c r="X46" s="12"/>
      <c r="Y46" s="12"/>
    </row>
    <row r="47" spans="2:25" x14ac:dyDescent="0.25">
      <c r="B47" s="13"/>
      <c r="E47" s="12"/>
      <c r="G47" s="12"/>
      <c r="I47" s="23">
        <v>10</v>
      </c>
      <c r="J47" s="13" t="s">
        <v>37</v>
      </c>
      <c r="W47" s="26"/>
      <c r="X47" s="12"/>
      <c r="Y47" s="12"/>
    </row>
    <row r="48" spans="2:25" x14ac:dyDescent="0.25">
      <c r="B48" s="13"/>
      <c r="E48" s="12"/>
      <c r="G48" s="12"/>
      <c r="I48" s="23">
        <v>11</v>
      </c>
      <c r="J48" s="13" t="s">
        <v>38</v>
      </c>
      <c r="W48" s="26"/>
      <c r="X48" s="12"/>
      <c r="Y48" s="12"/>
    </row>
    <row r="49" spans="2:25" x14ac:dyDescent="0.25">
      <c r="B49" s="13"/>
      <c r="E49" s="12"/>
      <c r="G49" s="12"/>
      <c r="I49" s="23">
        <v>12</v>
      </c>
      <c r="J49" s="13" t="s">
        <v>13</v>
      </c>
      <c r="W49" s="26"/>
      <c r="X49" s="12"/>
      <c r="Y49" s="12"/>
    </row>
    <row r="50" spans="2:25" x14ac:dyDescent="0.25">
      <c r="B50" s="13"/>
      <c r="C50" s="26"/>
      <c r="E50" s="12"/>
      <c r="G50" s="12"/>
      <c r="I50" s="23">
        <v>13</v>
      </c>
      <c r="J50" s="13" t="s">
        <v>39</v>
      </c>
      <c r="W50" s="26"/>
      <c r="X50" s="12"/>
      <c r="Y50" s="12"/>
    </row>
    <row r="51" spans="2:25" x14ac:dyDescent="0.25">
      <c r="B51" s="13"/>
      <c r="E51" s="12"/>
      <c r="G51" s="12"/>
      <c r="I51" s="23">
        <v>14</v>
      </c>
      <c r="J51" s="13" t="s">
        <v>40</v>
      </c>
      <c r="W51" s="26"/>
      <c r="X51" s="12"/>
      <c r="Y51" s="12"/>
    </row>
    <row r="52" spans="2:25" x14ac:dyDescent="0.25">
      <c r="B52" s="13"/>
      <c r="C52" s="26"/>
      <c r="E52" s="12"/>
      <c r="G52" s="12"/>
      <c r="I52" s="23">
        <v>15</v>
      </c>
      <c r="J52" s="13" t="s">
        <v>23</v>
      </c>
      <c r="W52" s="26"/>
      <c r="X52" s="12"/>
      <c r="Y52" s="12"/>
    </row>
    <row r="53" spans="2:25" x14ac:dyDescent="0.25">
      <c r="B53" s="13"/>
      <c r="I53" s="23">
        <v>16</v>
      </c>
      <c r="J53" s="13" t="s">
        <v>41</v>
      </c>
      <c r="W53" s="26"/>
      <c r="X53" s="12"/>
      <c r="Y53" s="12"/>
    </row>
    <row r="54" spans="2:25" x14ac:dyDescent="0.25">
      <c r="B54" s="13"/>
      <c r="C54" s="26"/>
      <c r="E54" s="31"/>
      <c r="I54" s="23">
        <v>17</v>
      </c>
      <c r="J54" s="13" t="s">
        <v>42</v>
      </c>
      <c r="W54" s="26"/>
      <c r="X54" s="12"/>
      <c r="Y54" s="12"/>
    </row>
    <row r="55" spans="2:25" x14ac:dyDescent="0.25">
      <c r="B55" s="13"/>
      <c r="C55" s="26"/>
      <c r="E55" s="31"/>
      <c r="I55" s="23">
        <v>18</v>
      </c>
      <c r="J55" s="13" t="s">
        <v>43</v>
      </c>
      <c r="W55" s="26"/>
      <c r="X55" s="12"/>
      <c r="Y55" s="12"/>
    </row>
    <row r="56" spans="2:25" x14ac:dyDescent="0.25">
      <c r="B56" s="13"/>
      <c r="C56" s="26"/>
      <c r="E56" s="31"/>
      <c r="I56" s="23">
        <v>19</v>
      </c>
      <c r="J56" s="13" t="s">
        <v>44</v>
      </c>
      <c r="W56" s="26"/>
      <c r="X56" s="12"/>
      <c r="Y56" s="12"/>
    </row>
    <row r="57" spans="2:25" x14ac:dyDescent="0.25">
      <c r="B57" s="13"/>
      <c r="C57" s="26"/>
      <c r="E57" s="31"/>
      <c r="I57" s="23">
        <v>20</v>
      </c>
      <c r="J57" s="13" t="s">
        <v>45</v>
      </c>
      <c r="W57" s="26"/>
      <c r="X57" s="12"/>
      <c r="Y57" s="12"/>
    </row>
    <row r="58" spans="2:25" x14ac:dyDescent="0.25">
      <c r="B58" s="13"/>
      <c r="C58" s="26"/>
      <c r="E58" s="31"/>
      <c r="I58" s="23">
        <v>21</v>
      </c>
      <c r="J58" s="13" t="s">
        <v>46</v>
      </c>
      <c r="W58" s="26"/>
      <c r="X58" s="12"/>
      <c r="Y58" s="12"/>
    </row>
    <row r="59" spans="2:25" x14ac:dyDescent="0.25">
      <c r="B59" s="13"/>
      <c r="C59" s="26"/>
      <c r="E59" s="31"/>
      <c r="I59" s="23">
        <v>22</v>
      </c>
      <c r="J59" s="13" t="s">
        <v>47</v>
      </c>
      <c r="W59" s="26"/>
      <c r="X59" s="12"/>
      <c r="Y59" s="12"/>
    </row>
    <row r="60" spans="2:25" x14ac:dyDescent="0.25">
      <c r="B60" s="13"/>
      <c r="C60" s="26"/>
      <c r="E60" s="31"/>
      <c r="I60" s="23">
        <v>23</v>
      </c>
      <c r="J60" s="13" t="s">
        <v>27</v>
      </c>
      <c r="W60" s="26"/>
      <c r="X60" s="12"/>
      <c r="Y60" s="12"/>
    </row>
    <row r="61" spans="2:25" x14ac:dyDescent="0.25">
      <c r="B61" s="13"/>
      <c r="C61" s="26"/>
      <c r="E61" s="31"/>
      <c r="I61" s="23">
        <v>24</v>
      </c>
      <c r="J61" s="13" t="s">
        <v>28</v>
      </c>
      <c r="W61" s="26"/>
      <c r="X61" s="12"/>
      <c r="Y61" s="12"/>
    </row>
    <row r="62" spans="2:25" x14ac:dyDescent="0.25">
      <c r="B62" s="13"/>
      <c r="I62" s="23">
        <v>25</v>
      </c>
      <c r="J62" s="13" t="s">
        <v>49</v>
      </c>
      <c r="W62" s="26"/>
      <c r="X62" s="12"/>
      <c r="Y62" s="12"/>
    </row>
    <row r="63" spans="2:25" x14ac:dyDescent="0.25">
      <c r="I63" s="23">
        <v>26</v>
      </c>
      <c r="J63" s="13" t="s">
        <v>139</v>
      </c>
      <c r="W63" s="26"/>
      <c r="X63" s="12"/>
      <c r="Y63" s="12"/>
    </row>
    <row r="64" spans="2:25" x14ac:dyDescent="0.25">
      <c r="W64" s="26"/>
      <c r="X64" s="12"/>
      <c r="Y64" s="12"/>
    </row>
    <row r="65" spans="23:25" x14ac:dyDescent="0.25">
      <c r="W65" s="26"/>
      <c r="X65" s="12"/>
      <c r="Y65" s="12"/>
    </row>
    <row r="66" spans="23:25" x14ac:dyDescent="0.25">
      <c r="W66" s="26"/>
      <c r="X66" s="12"/>
      <c r="Y66" s="12"/>
    </row>
  </sheetData>
  <mergeCells count="2">
    <mergeCell ref="D3:W3"/>
    <mergeCell ref="C39:G39"/>
  </mergeCells>
  <pageMargins left="0.19685039370078741" right="0.19685039370078741" top="0.74803149606299213" bottom="0.74803149606299213" header="0.31496062992125984" footer="0.31496062992125984"/>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Y72"/>
  <sheetViews>
    <sheetView topLeftCell="B25" workbookViewId="0">
      <selection activeCell="M56" sqref="M56"/>
    </sheetView>
  </sheetViews>
  <sheetFormatPr defaultRowHeight="15" x14ac:dyDescent="0.25"/>
  <cols>
    <col min="1" max="1" width="21.140625" customWidth="1"/>
    <col min="4" max="4" width="10" customWidth="1"/>
    <col min="14" max="14" width="10.140625" bestFit="1" customWidth="1"/>
    <col min="17" max="17" width="10" bestFit="1" customWidth="1"/>
    <col min="18" max="19" width="10.28515625" bestFit="1" customWidth="1"/>
    <col min="20" max="20" width="9.7109375" customWidth="1"/>
    <col min="21" max="22" width="10" bestFit="1" customWidth="1"/>
  </cols>
  <sheetData>
    <row r="2" spans="1:24" s="7" customFormat="1" ht="15.75" customHeight="1" x14ac:dyDescent="0.25">
      <c r="B2" s="83" t="s">
        <v>71</v>
      </c>
      <c r="C2" s="83"/>
      <c r="D2" s="83"/>
      <c r="E2" s="83"/>
      <c r="F2" s="36"/>
      <c r="G2" s="83" t="s">
        <v>72</v>
      </c>
      <c r="H2" s="83"/>
      <c r="I2" s="83"/>
      <c r="J2" s="83"/>
      <c r="L2" s="83" t="s">
        <v>125</v>
      </c>
      <c r="M2" s="83"/>
      <c r="N2" s="83"/>
      <c r="O2" s="83"/>
      <c r="R2" s="46">
        <v>44895</v>
      </c>
      <c r="S2" s="46">
        <v>45260</v>
      </c>
      <c r="T2" s="46">
        <v>45626</v>
      </c>
    </row>
    <row r="3" spans="1:24" x14ac:dyDescent="0.25">
      <c r="B3" t="s">
        <v>32</v>
      </c>
      <c r="C3" t="s">
        <v>33</v>
      </c>
      <c r="D3" t="s">
        <v>34</v>
      </c>
      <c r="E3" t="s">
        <v>35</v>
      </c>
      <c r="G3" t="s">
        <v>32</v>
      </c>
      <c r="H3" t="s">
        <v>33</v>
      </c>
      <c r="I3" t="s">
        <v>34</v>
      </c>
      <c r="J3" t="s">
        <v>35</v>
      </c>
      <c r="L3" t="s">
        <v>32</v>
      </c>
      <c r="M3" t="s">
        <v>33</v>
      </c>
      <c r="N3" t="s">
        <v>34</v>
      </c>
      <c r="O3" t="s">
        <v>35</v>
      </c>
      <c r="Q3" s="22" t="s">
        <v>128</v>
      </c>
      <c r="R3">
        <v>19083.689999999999</v>
      </c>
      <c r="S3">
        <v>10442.879999999999</v>
      </c>
      <c r="T3">
        <v>18997.939999999999</v>
      </c>
      <c r="U3" t="s">
        <v>131</v>
      </c>
      <c r="X3">
        <v>0</v>
      </c>
    </row>
    <row r="4" spans="1:24" x14ac:dyDescent="0.25">
      <c r="A4" s="30" t="s">
        <v>55</v>
      </c>
      <c r="B4" s="15">
        <v>19030.32</v>
      </c>
      <c r="C4" s="15">
        <f>B8</f>
        <v>23008.080000000002</v>
      </c>
      <c r="D4" s="15">
        <f>C8</f>
        <v>22367.58</v>
      </c>
      <c r="E4" s="48">
        <f>D8</f>
        <v>18901.030000000002</v>
      </c>
      <c r="F4" s="15"/>
      <c r="G4" s="15">
        <f>E8</f>
        <v>17401.010000000002</v>
      </c>
      <c r="H4" s="15">
        <f>G8</f>
        <v>24284.960000000003</v>
      </c>
      <c r="I4" s="15">
        <f>H8</f>
        <v>31111.540000000008</v>
      </c>
      <c r="J4" s="15">
        <f>I8</f>
        <v>31101.62000000001</v>
      </c>
      <c r="K4" s="15"/>
      <c r="L4" s="37"/>
      <c r="Q4" s="22" t="s">
        <v>127</v>
      </c>
      <c r="R4">
        <v>55454.82</v>
      </c>
      <c r="S4">
        <v>10016.39</v>
      </c>
      <c r="T4">
        <v>40745.32</v>
      </c>
      <c r="X4" s="47">
        <v>3.2500000000000001E-2</v>
      </c>
    </row>
    <row r="5" spans="1:24" x14ac:dyDescent="0.25">
      <c r="A5" s="30" t="s">
        <v>56</v>
      </c>
      <c r="B5" s="15">
        <v>7167.5</v>
      </c>
      <c r="C5" s="15">
        <v>2579.7399999999998</v>
      </c>
      <c r="D5" s="15">
        <v>1295</v>
      </c>
      <c r="E5" s="48">
        <v>4316.3</v>
      </c>
      <c r="F5" s="15"/>
      <c r="G5" s="15">
        <v>8558.2099999999991</v>
      </c>
      <c r="H5" s="15">
        <v>11800</v>
      </c>
      <c r="I5" s="15">
        <v>3745</v>
      </c>
      <c r="J5" s="15"/>
      <c r="K5" s="15"/>
      <c r="L5" s="37"/>
      <c r="Q5" s="22" t="s">
        <v>126</v>
      </c>
      <c r="R5">
        <v>0</v>
      </c>
      <c r="S5">
        <v>57237.22</v>
      </c>
      <c r="T5">
        <v>59563.1</v>
      </c>
      <c r="X5" s="47">
        <v>4.2500000000000003E-2</v>
      </c>
    </row>
    <row r="6" spans="1:24" x14ac:dyDescent="0.25">
      <c r="A6" s="30" t="s">
        <v>57</v>
      </c>
      <c r="B6" s="15">
        <v>-3189.74</v>
      </c>
      <c r="C6" s="15">
        <v>-3220.24</v>
      </c>
      <c r="D6" s="15">
        <v>-4761.55</v>
      </c>
      <c r="E6" s="48">
        <v>-5816.32</v>
      </c>
      <c r="F6" s="15"/>
      <c r="G6" s="15">
        <v>-1674.26</v>
      </c>
      <c r="H6" s="15">
        <v>-4973.42</v>
      </c>
      <c r="I6" s="15">
        <v>-3754.92</v>
      </c>
      <c r="J6" s="15"/>
      <c r="K6" s="15"/>
      <c r="L6" s="37"/>
      <c r="Q6" s="22" t="s">
        <v>73</v>
      </c>
      <c r="R6">
        <v>200</v>
      </c>
      <c r="S6">
        <v>200</v>
      </c>
      <c r="T6">
        <v>200</v>
      </c>
    </row>
    <row r="7" spans="1:24" x14ac:dyDescent="0.25">
      <c r="A7" s="30" t="s">
        <v>31</v>
      </c>
      <c r="B7" s="15">
        <v>0</v>
      </c>
      <c r="C7" s="15">
        <v>0</v>
      </c>
      <c r="D7" s="15">
        <v>0</v>
      </c>
      <c r="E7" s="48">
        <v>0</v>
      </c>
      <c r="F7" s="15"/>
      <c r="G7" s="15">
        <v>0</v>
      </c>
      <c r="H7" s="15">
        <v>0</v>
      </c>
      <c r="I7" s="15">
        <v>0</v>
      </c>
      <c r="J7" s="15">
        <v>0</v>
      </c>
      <c r="K7" s="15"/>
      <c r="L7" s="37"/>
    </row>
    <row r="8" spans="1:24" x14ac:dyDescent="0.25">
      <c r="A8" s="39" t="s">
        <v>61</v>
      </c>
      <c r="B8" s="16">
        <f>SUM(B4:B7)</f>
        <v>23008.080000000002</v>
      </c>
      <c r="C8" s="16">
        <f>SUM(C4:C7)</f>
        <v>22367.58</v>
      </c>
      <c r="D8" s="16">
        <f>SUM(D4:D7)</f>
        <v>18901.030000000002</v>
      </c>
      <c r="E8" s="49">
        <f>SUM(E4:E7)</f>
        <v>17401.010000000002</v>
      </c>
      <c r="F8" s="16"/>
      <c r="G8" s="16">
        <f>SUM(G4:G7)</f>
        <v>24284.960000000003</v>
      </c>
      <c r="H8" s="16">
        <f>SUM(H4:H7)</f>
        <v>31111.540000000008</v>
      </c>
      <c r="I8" s="16">
        <f>SUM(I4:I7)</f>
        <v>31101.62000000001</v>
      </c>
      <c r="J8" s="16">
        <f>SUM(J4:J7)</f>
        <v>31101.62000000001</v>
      </c>
      <c r="K8" s="15"/>
      <c r="L8" s="37"/>
      <c r="Q8" s="22" t="s">
        <v>4</v>
      </c>
      <c r="R8">
        <f>SUM(R3:R7)</f>
        <v>74738.509999999995</v>
      </c>
      <c r="S8">
        <f>SUM(S3:S7)</f>
        <v>77896.489999999991</v>
      </c>
      <c r="T8">
        <f>SUM(T3:T7)</f>
        <v>119506.35999999999</v>
      </c>
    </row>
    <row r="9" spans="1:24" x14ac:dyDescent="0.25">
      <c r="A9" s="30" t="s">
        <v>58</v>
      </c>
      <c r="B9" s="15">
        <v>40000.82</v>
      </c>
      <c r="C9" s="15">
        <f>B13</f>
        <v>40075.659999999996</v>
      </c>
      <c r="D9" s="15">
        <f>C13</f>
        <v>40150.639999999999</v>
      </c>
      <c r="E9" s="48">
        <f>D13</f>
        <v>40162.800000000003</v>
      </c>
      <c r="F9" s="15"/>
      <c r="G9" s="15">
        <f>E13</f>
        <v>40173.14</v>
      </c>
      <c r="H9" s="15">
        <f>G13</f>
        <v>40173.14</v>
      </c>
      <c r="I9" s="15">
        <f>H13</f>
        <v>40173.14</v>
      </c>
      <c r="J9" s="15">
        <f>I13</f>
        <v>40173.14</v>
      </c>
      <c r="K9" s="15"/>
      <c r="L9" s="37"/>
      <c r="T9" t="s">
        <v>129</v>
      </c>
      <c r="U9" t="s">
        <v>130</v>
      </c>
    </row>
    <row r="10" spans="1:24" x14ac:dyDescent="0.25">
      <c r="A10" s="30" t="s">
        <v>59</v>
      </c>
      <c r="B10" s="15">
        <v>0</v>
      </c>
      <c r="C10" s="15">
        <v>0</v>
      </c>
      <c r="D10" s="15">
        <v>0</v>
      </c>
      <c r="E10" s="48">
        <v>0</v>
      </c>
      <c r="F10" s="15"/>
      <c r="G10" s="15">
        <v>0</v>
      </c>
      <c r="H10" s="15">
        <v>0</v>
      </c>
      <c r="I10" s="15">
        <v>0</v>
      </c>
      <c r="J10" s="15"/>
      <c r="K10" s="15"/>
      <c r="L10" s="37"/>
    </row>
    <row r="11" spans="1:24" x14ac:dyDescent="0.25">
      <c r="A11" s="30" t="s">
        <v>60</v>
      </c>
      <c r="B11" s="15">
        <v>0</v>
      </c>
      <c r="C11" s="15">
        <v>0</v>
      </c>
      <c r="D11" s="15">
        <v>0</v>
      </c>
      <c r="E11" s="48">
        <v>0</v>
      </c>
      <c r="F11" s="15"/>
      <c r="G11" s="15">
        <v>0</v>
      </c>
      <c r="H11" s="15">
        <v>0</v>
      </c>
      <c r="I11" s="15">
        <v>0</v>
      </c>
      <c r="J11" s="15"/>
      <c r="K11" s="15"/>
      <c r="L11" s="37"/>
    </row>
    <row r="12" spans="1:24" x14ac:dyDescent="0.25">
      <c r="A12" s="30" t="s">
        <v>31</v>
      </c>
      <c r="B12" s="15">
        <v>74.84</v>
      </c>
      <c r="C12" s="15">
        <v>74.98</v>
      </c>
      <c r="D12" s="15">
        <v>12.16</v>
      </c>
      <c r="E12" s="48">
        <v>10.34</v>
      </c>
      <c r="F12" s="15"/>
      <c r="G12" s="15"/>
      <c r="H12" s="15"/>
      <c r="I12" s="15"/>
      <c r="J12" s="15"/>
      <c r="K12" s="15"/>
      <c r="L12" s="37"/>
    </row>
    <row r="13" spans="1:24" x14ac:dyDescent="0.25">
      <c r="A13" s="39" t="s">
        <v>62</v>
      </c>
      <c r="B13" s="16">
        <f>SUM(B9:B12)</f>
        <v>40075.659999999996</v>
      </c>
      <c r="C13" s="16">
        <f>SUM(C9:C12)</f>
        <v>40150.639999999999</v>
      </c>
      <c r="D13" s="16">
        <f>SUM(D9:D12)</f>
        <v>40162.800000000003</v>
      </c>
      <c r="E13" s="49">
        <f>SUM(E9:E12)</f>
        <v>40173.14</v>
      </c>
      <c r="F13" s="16"/>
      <c r="G13" s="16">
        <f>SUM(G9:G12)</f>
        <v>40173.14</v>
      </c>
      <c r="H13" s="16">
        <f>SUM(H9:H12)</f>
        <v>40173.14</v>
      </c>
      <c r="I13" s="16">
        <f>SUM(I9:I12)</f>
        <v>40173.14</v>
      </c>
      <c r="J13" s="16">
        <f>SUM(J9:J12)</f>
        <v>40173.14</v>
      </c>
      <c r="K13" s="15"/>
      <c r="L13" s="37"/>
    </row>
    <row r="14" spans="1:24" x14ac:dyDescent="0.25">
      <c r="A14" s="30" t="s">
        <v>63</v>
      </c>
      <c r="B14" s="15"/>
      <c r="C14" s="15"/>
      <c r="D14" s="15"/>
      <c r="E14" s="48"/>
      <c r="F14" s="15"/>
      <c r="G14" s="15">
        <v>200</v>
      </c>
      <c r="H14" s="15"/>
      <c r="I14" s="15"/>
      <c r="J14" s="15"/>
      <c r="K14" s="15"/>
      <c r="L14" s="37"/>
    </row>
    <row r="15" spans="1:24" s="10" customFormat="1" x14ac:dyDescent="0.25">
      <c r="A15" s="39" t="s">
        <v>64</v>
      </c>
      <c r="B15" s="16">
        <f>B8+B13+B14</f>
        <v>63083.74</v>
      </c>
      <c r="C15" s="16">
        <f>C8+C13+C14</f>
        <v>62518.22</v>
      </c>
      <c r="D15" s="16">
        <f>D8+D13+D14</f>
        <v>59063.83</v>
      </c>
      <c r="E15" s="49">
        <f>E8+E13+E14</f>
        <v>57574.15</v>
      </c>
      <c r="F15" s="16"/>
      <c r="G15" s="16">
        <f>G8+G13+G14</f>
        <v>64658.100000000006</v>
      </c>
      <c r="H15" s="16">
        <f>H8+H13+H14</f>
        <v>71284.680000000008</v>
      </c>
      <c r="I15" s="16">
        <f>I8+I13+I14</f>
        <v>71274.760000000009</v>
      </c>
      <c r="J15" s="16">
        <f>J8+J13+J14</f>
        <v>71274.760000000009</v>
      </c>
      <c r="K15" s="16"/>
      <c r="L15" s="38"/>
    </row>
    <row r="16" spans="1:24" x14ac:dyDescent="0.25">
      <c r="B16" s="15"/>
      <c r="C16" s="15"/>
      <c r="D16" s="15"/>
      <c r="E16" s="15"/>
      <c r="F16" s="15"/>
      <c r="G16" s="15"/>
      <c r="H16" s="15"/>
      <c r="I16" s="15"/>
      <c r="J16" s="15"/>
      <c r="K16" s="15"/>
      <c r="L16" s="37"/>
    </row>
    <row r="17" spans="1:25" x14ac:dyDescent="0.25">
      <c r="A17" s="22"/>
      <c r="B17" s="15"/>
      <c r="C17" s="15"/>
      <c r="D17" s="15"/>
      <c r="E17" s="15"/>
      <c r="F17" s="15"/>
      <c r="G17" s="15"/>
      <c r="H17" s="15"/>
      <c r="I17" s="15"/>
      <c r="J17" s="15"/>
      <c r="K17" s="15"/>
      <c r="L17" s="37"/>
      <c r="R17" t="s">
        <v>67</v>
      </c>
      <c r="S17" t="s">
        <v>66</v>
      </c>
      <c r="T17" s="35" t="s">
        <v>68</v>
      </c>
      <c r="U17" t="s">
        <v>69</v>
      </c>
    </row>
    <row r="18" spans="1:25" x14ac:dyDescent="0.25">
      <c r="B18" s="15"/>
      <c r="C18" s="15"/>
      <c r="D18" s="15"/>
      <c r="E18" s="15"/>
      <c r="F18" s="15"/>
      <c r="G18" s="15"/>
      <c r="H18" s="15"/>
      <c r="I18" s="15"/>
      <c r="J18" s="15"/>
      <c r="K18" s="15"/>
      <c r="L18" s="37"/>
      <c r="R18" t="s">
        <v>65</v>
      </c>
      <c r="S18" t="s">
        <v>66</v>
      </c>
      <c r="T18">
        <v>24272698</v>
      </c>
      <c r="U18" t="s">
        <v>70</v>
      </c>
    </row>
    <row r="19" spans="1:25" x14ac:dyDescent="0.25">
      <c r="B19" s="15"/>
      <c r="C19" s="15"/>
      <c r="D19" s="15"/>
      <c r="E19" s="15"/>
      <c r="F19" s="15"/>
      <c r="G19" s="15"/>
      <c r="H19" s="15"/>
      <c r="I19" s="15"/>
      <c r="J19" s="15"/>
      <c r="K19" s="15"/>
      <c r="L19" s="37"/>
    </row>
    <row r="20" spans="1:25" x14ac:dyDescent="0.25">
      <c r="B20" s="15"/>
      <c r="C20" s="15"/>
      <c r="D20" s="15"/>
      <c r="E20" s="15"/>
      <c r="F20" s="15"/>
      <c r="G20" s="15"/>
      <c r="H20" s="15"/>
      <c r="I20" s="15"/>
      <c r="J20" s="15"/>
    </row>
    <row r="21" spans="1:25" x14ac:dyDescent="0.25">
      <c r="B21" s="30"/>
      <c r="C21" s="30"/>
      <c r="D21" s="30"/>
      <c r="E21" s="30"/>
      <c r="F21" s="30"/>
      <c r="G21" s="30"/>
      <c r="H21" s="30"/>
      <c r="I21" s="30"/>
      <c r="J21" s="30"/>
    </row>
    <row r="26" spans="1:25" x14ac:dyDescent="0.25">
      <c r="F26">
        <v>1</v>
      </c>
      <c r="G26" t="s">
        <v>237</v>
      </c>
      <c r="L26" s="12">
        <v>4497.21</v>
      </c>
      <c r="M26" t="s">
        <v>364</v>
      </c>
      <c r="R26" s="26">
        <v>44530</v>
      </c>
      <c r="S26" s="26">
        <v>44895</v>
      </c>
      <c r="T26" s="26">
        <v>45260</v>
      </c>
      <c r="U26" s="26">
        <v>45626</v>
      </c>
      <c r="V26" s="26">
        <v>45991</v>
      </c>
    </row>
    <row r="27" spans="1:25" x14ac:dyDescent="0.25">
      <c r="F27">
        <v>2</v>
      </c>
      <c r="G27" t="s">
        <v>360</v>
      </c>
      <c r="L27" s="12">
        <v>7130</v>
      </c>
      <c r="M27" t="s">
        <v>347</v>
      </c>
      <c r="Q27" s="22" t="s">
        <v>132</v>
      </c>
      <c r="R27" s="53">
        <v>31102</v>
      </c>
      <c r="S27" s="53">
        <v>19083.689999999999</v>
      </c>
      <c r="T27" s="52">
        <v>10442.879999999999</v>
      </c>
      <c r="U27" s="12">
        <v>18997.939999999999</v>
      </c>
      <c r="V27">
        <v>27690</v>
      </c>
    </row>
    <row r="28" spans="1:25" x14ac:dyDescent="0.25">
      <c r="C28" t="s">
        <v>237</v>
      </c>
      <c r="D28" t="s">
        <v>360</v>
      </c>
      <c r="E28" t="s">
        <v>102</v>
      </c>
      <c r="F28">
        <v>3</v>
      </c>
      <c r="G28" t="s">
        <v>102</v>
      </c>
      <c r="L28" s="12">
        <v>9266.67</v>
      </c>
      <c r="M28" t="s">
        <v>363</v>
      </c>
      <c r="Q28" s="22" t="s">
        <v>133</v>
      </c>
      <c r="R28" s="53">
        <v>40017.14</v>
      </c>
      <c r="S28" s="53">
        <v>55454.82</v>
      </c>
      <c r="T28" s="52">
        <v>10016.39</v>
      </c>
      <c r="U28" s="12">
        <v>40745.32</v>
      </c>
      <c r="V28">
        <v>61609</v>
      </c>
      <c r="W28" s="10"/>
      <c r="X28" s="10"/>
      <c r="Y28" s="10"/>
    </row>
    <row r="29" spans="1:25" x14ac:dyDescent="0.25">
      <c r="C29" s="1">
        <v>-878.74</v>
      </c>
      <c r="D29" s="1">
        <v>-47.21</v>
      </c>
      <c r="E29" s="1">
        <v>-540</v>
      </c>
      <c r="F29" t="s">
        <v>361</v>
      </c>
      <c r="Q29" s="22" t="s">
        <v>134</v>
      </c>
      <c r="R29" s="53"/>
      <c r="S29" s="53">
        <v>0</v>
      </c>
      <c r="T29" s="52">
        <v>57237.22</v>
      </c>
      <c r="U29" s="12">
        <v>59563.1</v>
      </c>
      <c r="V29">
        <v>67166</v>
      </c>
    </row>
    <row r="30" spans="1:25" x14ac:dyDescent="0.25">
      <c r="B30" s="1">
        <v>-4000</v>
      </c>
      <c r="C30" s="1">
        <v>-1410</v>
      </c>
      <c r="D30" s="1">
        <v>-4450</v>
      </c>
      <c r="E30" s="1">
        <v>-144</v>
      </c>
      <c r="F30" t="s">
        <v>362</v>
      </c>
      <c r="L30" s="12">
        <f>SUM(L26:L29)</f>
        <v>20893.879999999997</v>
      </c>
      <c r="M30" t="s">
        <v>4</v>
      </c>
      <c r="Q30" s="22" t="s">
        <v>63</v>
      </c>
      <c r="R30" s="53">
        <v>0</v>
      </c>
      <c r="S30" s="53">
        <v>200</v>
      </c>
      <c r="T30" s="52">
        <v>200</v>
      </c>
      <c r="U30" s="12">
        <v>200</v>
      </c>
      <c r="V30">
        <v>200</v>
      </c>
    </row>
    <row r="31" spans="1:25" x14ac:dyDescent="0.25">
      <c r="B31" s="1">
        <v>-1000</v>
      </c>
      <c r="C31" s="1">
        <v>-170.18</v>
      </c>
      <c r="D31" s="1">
        <v>-6440</v>
      </c>
      <c r="E31" s="1">
        <v>-54</v>
      </c>
      <c r="F31" t="s">
        <v>347</v>
      </c>
      <c r="L31" s="12">
        <f>58600-L30</f>
        <v>37706.120000000003</v>
      </c>
      <c r="M31" t="s">
        <v>365</v>
      </c>
      <c r="Q31" s="22" t="s">
        <v>4</v>
      </c>
      <c r="R31" s="12">
        <f>SUM(R27:R30)</f>
        <v>71119.14</v>
      </c>
      <c r="S31" s="12">
        <f>SUM(S27:S30)</f>
        <v>74738.509999999995</v>
      </c>
      <c r="T31" s="12">
        <f>SUM(T27:T30)</f>
        <v>77896.489999999991</v>
      </c>
      <c r="U31" s="12">
        <f>SUM(U27:U30)</f>
        <v>119506.35999999999</v>
      </c>
      <c r="V31" s="12">
        <f>SUM(V27:V30)</f>
        <v>156665</v>
      </c>
    </row>
    <row r="32" spans="1:25" x14ac:dyDescent="0.25">
      <c r="B32" s="1">
        <v>-2266.67</v>
      </c>
      <c r="C32" s="1">
        <v>-94.57</v>
      </c>
      <c r="D32" s="1">
        <v>-690</v>
      </c>
      <c r="E32" s="1">
        <v>-80.680000000000007</v>
      </c>
      <c r="F32" t="s">
        <v>347</v>
      </c>
      <c r="K32" t="s">
        <v>366</v>
      </c>
      <c r="L32">
        <v>4500</v>
      </c>
      <c r="M32" t="s">
        <v>367</v>
      </c>
      <c r="Q32" s="22" t="s">
        <v>129</v>
      </c>
      <c r="S32" s="12">
        <f>S31-R31</f>
        <v>3619.3699999999953</v>
      </c>
      <c r="T32" s="12">
        <f>T31-S31</f>
        <v>3157.9799999999959</v>
      </c>
      <c r="U32" s="12">
        <f>U31-T31</f>
        <v>41609.869999999995</v>
      </c>
      <c r="V32" s="12">
        <f>V31-U31</f>
        <v>37158.640000000014</v>
      </c>
    </row>
    <row r="33" spans="1:22" x14ac:dyDescent="0.25">
      <c r="B33" s="1">
        <v>-2000</v>
      </c>
      <c r="C33" s="1">
        <v>-368</v>
      </c>
      <c r="D33" s="1">
        <v>-4000</v>
      </c>
      <c r="E33" s="1">
        <v>-27.19</v>
      </c>
      <c r="F33" t="s">
        <v>363</v>
      </c>
      <c r="K33" s="63" t="s">
        <v>366</v>
      </c>
      <c r="L33" s="63">
        <f>6500*1.2</f>
        <v>7800</v>
      </c>
      <c r="M33" s="63" t="s">
        <v>368</v>
      </c>
      <c r="T33" s="52"/>
      <c r="U33" s="12"/>
    </row>
    <row r="34" spans="1:22" x14ac:dyDescent="0.25">
      <c r="B34" s="1">
        <f>SUM(B30:B33)</f>
        <v>-9266.67</v>
      </c>
      <c r="C34" s="1">
        <v>-176</v>
      </c>
      <c r="D34" s="1">
        <v>-1000</v>
      </c>
      <c r="E34" s="1">
        <v>-88.08</v>
      </c>
      <c r="F34" t="s">
        <v>363</v>
      </c>
      <c r="L34" s="12">
        <f>L31-L32-L33</f>
        <v>25406.120000000003</v>
      </c>
      <c r="M34" t="s">
        <v>369</v>
      </c>
      <c r="T34" s="52"/>
      <c r="U34" s="12"/>
    </row>
    <row r="35" spans="1:22" x14ac:dyDescent="0.25">
      <c r="C35" s="1">
        <v>-60</v>
      </c>
      <c r="D35" s="1">
        <v>-2266.67</v>
      </c>
      <c r="E35" s="1">
        <v>-55.98</v>
      </c>
      <c r="F35" t="s">
        <v>363</v>
      </c>
      <c r="S35" t="s">
        <v>50</v>
      </c>
      <c r="T35" s="12"/>
      <c r="U35" s="12">
        <v>3054.81</v>
      </c>
      <c r="V35" s="47">
        <v>4.5400000000000003E-2</v>
      </c>
    </row>
    <row r="36" spans="1:22" x14ac:dyDescent="0.25">
      <c r="C36" s="1">
        <v>-274.48</v>
      </c>
      <c r="D36" s="1">
        <v>-2000</v>
      </c>
      <c r="E36" s="1">
        <v>-15.87</v>
      </c>
      <c r="F36" t="s">
        <v>363</v>
      </c>
      <c r="S36" t="s">
        <v>346</v>
      </c>
      <c r="T36">
        <v>500</v>
      </c>
      <c r="U36" t="s">
        <v>51</v>
      </c>
    </row>
    <row r="37" spans="1:22" x14ac:dyDescent="0.25">
      <c r="C37" s="1">
        <v>-219.75</v>
      </c>
      <c r="E37" s="1">
        <v>-79.290000000000006</v>
      </c>
      <c r="R37" s="26"/>
    </row>
    <row r="38" spans="1:22" x14ac:dyDescent="0.25">
      <c r="C38" s="1">
        <v>-26.44</v>
      </c>
      <c r="E38" s="1">
        <v>-25.61</v>
      </c>
      <c r="R38" s="46">
        <v>45624</v>
      </c>
      <c r="T38" s="62"/>
      <c r="U38" s="62">
        <v>2023</v>
      </c>
      <c r="V38" s="62">
        <v>2024</v>
      </c>
    </row>
    <row r="39" spans="1:22" x14ac:dyDescent="0.25">
      <c r="C39" s="1">
        <v>-123.02</v>
      </c>
      <c r="E39" s="1">
        <v>-10</v>
      </c>
      <c r="L39" s="7"/>
      <c r="M39" s="7"/>
      <c r="N39" s="7"/>
      <c r="R39" s="26" t="s">
        <v>339</v>
      </c>
      <c r="T39" s="12"/>
      <c r="U39">
        <v>4550</v>
      </c>
      <c r="V39" s="12">
        <v>3405</v>
      </c>
    </row>
    <row r="40" spans="1:22" x14ac:dyDescent="0.25">
      <c r="C40" s="1">
        <v>-30.83</v>
      </c>
      <c r="E40" s="1">
        <v>-17.98</v>
      </c>
      <c r="R40" t="s">
        <v>370</v>
      </c>
      <c r="U40">
        <v>835</v>
      </c>
      <c r="V40">
        <v>2000</v>
      </c>
    </row>
    <row r="41" spans="1:22" x14ac:dyDescent="0.25">
      <c r="A41" s="26"/>
      <c r="C41" s="1">
        <v>-57.93</v>
      </c>
      <c r="E41" s="1">
        <v>-175</v>
      </c>
      <c r="R41" t="s">
        <v>86</v>
      </c>
      <c r="T41" s="12"/>
      <c r="U41">
        <v>1875</v>
      </c>
      <c r="V41" s="12">
        <v>2315</v>
      </c>
    </row>
    <row r="42" spans="1:22" x14ac:dyDescent="0.25">
      <c r="A42" s="26"/>
      <c r="C42" s="1">
        <v>-129.46</v>
      </c>
      <c r="E42" s="1">
        <v>-180</v>
      </c>
      <c r="R42" s="41" t="s">
        <v>104</v>
      </c>
      <c r="T42" s="12"/>
      <c r="U42">
        <v>1700</v>
      </c>
      <c r="V42" s="12">
        <v>2020</v>
      </c>
    </row>
    <row r="43" spans="1:22" x14ac:dyDescent="0.25">
      <c r="A43" s="26"/>
      <c r="C43" s="1">
        <v>-20</v>
      </c>
      <c r="R43" s="26" t="s">
        <v>206</v>
      </c>
      <c r="T43" s="12"/>
      <c r="U43">
        <v>780</v>
      </c>
      <c r="V43" s="12">
        <v>1750</v>
      </c>
    </row>
    <row r="44" spans="1:22" x14ac:dyDescent="0.25">
      <c r="A44" s="26"/>
      <c r="C44" s="1">
        <v>-230</v>
      </c>
      <c r="R44" t="s">
        <v>95</v>
      </c>
      <c r="T44" s="12"/>
      <c r="U44">
        <v>730</v>
      </c>
      <c r="V44" s="12">
        <v>1270</v>
      </c>
    </row>
    <row r="45" spans="1:22" x14ac:dyDescent="0.25">
      <c r="A45" s="26"/>
      <c r="C45" s="1">
        <f>SUM(C29:C44)</f>
        <v>-4269.3999999999996</v>
      </c>
      <c r="D45" s="1">
        <f>SUM(D29:D44)</f>
        <v>-20893.879999999997</v>
      </c>
      <c r="E45" s="1">
        <f>SUM(E29:E44)</f>
        <v>-1493.68</v>
      </c>
      <c r="R45" s="26" t="s">
        <v>14</v>
      </c>
      <c r="T45" s="12"/>
      <c r="U45">
        <v>1100</v>
      </c>
      <c r="V45" s="12">
        <v>1120</v>
      </c>
    </row>
    <row r="46" spans="1:22" x14ac:dyDescent="0.25">
      <c r="A46" s="26"/>
      <c r="R46" t="s">
        <v>89</v>
      </c>
      <c r="T46" s="12"/>
      <c r="U46">
        <v>995</v>
      </c>
      <c r="V46" s="12">
        <v>1105</v>
      </c>
    </row>
    <row r="47" spans="1:22" x14ac:dyDescent="0.25">
      <c r="A47" s="14"/>
      <c r="E47" s="12">
        <v>4497.21</v>
      </c>
      <c r="F47" t="s">
        <v>364</v>
      </c>
      <c r="R47" t="s">
        <v>153</v>
      </c>
      <c r="T47" s="12"/>
      <c r="U47">
        <v>0</v>
      </c>
      <c r="V47" s="12">
        <v>1095</v>
      </c>
    </row>
    <row r="48" spans="1:22" x14ac:dyDescent="0.25">
      <c r="A48" s="26"/>
      <c r="E48" s="12">
        <v>7130</v>
      </c>
      <c r="F48" t="s">
        <v>347</v>
      </c>
      <c r="R48" t="s">
        <v>90</v>
      </c>
      <c r="T48" s="12"/>
      <c r="U48">
        <v>852</v>
      </c>
      <c r="V48" s="12">
        <v>880</v>
      </c>
    </row>
    <row r="49" spans="1:23" x14ac:dyDescent="0.25">
      <c r="A49" s="26"/>
      <c r="E49" s="12">
        <v>9266.67</v>
      </c>
      <c r="F49" t="s">
        <v>363</v>
      </c>
      <c r="O49" s="1"/>
      <c r="R49" s="26" t="s">
        <v>205</v>
      </c>
      <c r="T49" s="12"/>
      <c r="U49">
        <v>825</v>
      </c>
      <c r="V49" s="12">
        <v>745</v>
      </c>
    </row>
    <row r="50" spans="1:23" x14ac:dyDescent="0.25">
      <c r="A50" s="26"/>
      <c r="R50" t="s">
        <v>91</v>
      </c>
      <c r="T50" s="12"/>
      <c r="U50">
        <v>310</v>
      </c>
      <c r="V50" s="12">
        <v>405</v>
      </c>
    </row>
    <row r="51" spans="1:23" x14ac:dyDescent="0.25">
      <c r="A51" s="26"/>
      <c r="E51" s="12">
        <f>SUM(E47:E50)</f>
        <v>20893.879999999997</v>
      </c>
      <c r="F51" t="s">
        <v>4</v>
      </c>
      <c r="O51" s="1"/>
      <c r="R51" s="26" t="s">
        <v>204</v>
      </c>
      <c r="T51" s="12"/>
      <c r="U51">
        <v>1590</v>
      </c>
      <c r="V51" s="12">
        <v>405</v>
      </c>
    </row>
    <row r="52" spans="1:23" x14ac:dyDescent="0.25">
      <c r="A52" s="26"/>
      <c r="E52" s="12">
        <f>58600-E51</f>
        <v>37706.120000000003</v>
      </c>
      <c r="F52" t="s">
        <v>365</v>
      </c>
      <c r="O52" s="11"/>
    </row>
    <row r="53" spans="1:23" x14ac:dyDescent="0.25">
      <c r="A53" s="26"/>
      <c r="D53" t="s">
        <v>366</v>
      </c>
      <c r="E53">
        <v>4500</v>
      </c>
      <c r="F53" t="s">
        <v>367</v>
      </c>
      <c r="N53" s="65"/>
      <c r="O53" s="66"/>
      <c r="R53" s="7" t="s">
        <v>348</v>
      </c>
      <c r="S53" s="7"/>
      <c r="T53" s="7"/>
    </row>
    <row r="54" spans="1:23" x14ac:dyDescent="0.25">
      <c r="A54" s="26"/>
      <c r="D54" s="63" t="s">
        <v>366</v>
      </c>
      <c r="E54" s="63">
        <f>6500*1.2</f>
        <v>7800</v>
      </c>
      <c r="F54" s="63" t="s">
        <v>368</v>
      </c>
      <c r="N54" s="65"/>
      <c r="O54" s="66"/>
      <c r="R54" t="s">
        <v>349</v>
      </c>
      <c r="U54">
        <v>540</v>
      </c>
    </row>
    <row r="55" spans="1:23" x14ac:dyDescent="0.25">
      <c r="A55" s="26"/>
      <c r="E55" s="12">
        <f>E52-E53-E54</f>
        <v>25406.120000000003</v>
      </c>
      <c r="F55" t="s">
        <v>369</v>
      </c>
      <c r="N55" s="1"/>
      <c r="O55" s="11"/>
      <c r="R55" t="s">
        <v>350</v>
      </c>
      <c r="U55">
        <v>4270</v>
      </c>
    </row>
    <row r="56" spans="1:23" x14ac:dyDescent="0.25">
      <c r="R56" t="s">
        <v>351</v>
      </c>
      <c r="U56">
        <v>180</v>
      </c>
      <c r="V56" s="22" t="s">
        <v>350</v>
      </c>
      <c r="W56" s="11">
        <v>4270</v>
      </c>
    </row>
    <row r="57" spans="1:23" x14ac:dyDescent="0.25">
      <c r="R57" t="s">
        <v>352</v>
      </c>
      <c r="U57">
        <v>56</v>
      </c>
      <c r="V57" s="67" t="s">
        <v>358</v>
      </c>
      <c r="W57" s="66">
        <v>3882</v>
      </c>
    </row>
    <row r="58" spans="1:23" x14ac:dyDescent="0.25">
      <c r="R58" t="s">
        <v>353</v>
      </c>
      <c r="U58">
        <v>229</v>
      </c>
      <c r="V58" s="67" t="s">
        <v>371</v>
      </c>
      <c r="W58" s="66">
        <f>W56-W57</f>
        <v>388</v>
      </c>
    </row>
    <row r="59" spans="1:23" x14ac:dyDescent="0.25">
      <c r="R59" t="s">
        <v>354</v>
      </c>
      <c r="V59" s="68" t="s">
        <v>359</v>
      </c>
      <c r="W59" s="11">
        <v>1494</v>
      </c>
    </row>
    <row r="60" spans="1:23" x14ac:dyDescent="0.25">
      <c r="R60" t="s">
        <v>355</v>
      </c>
      <c r="U60">
        <v>88</v>
      </c>
    </row>
    <row r="61" spans="1:23" x14ac:dyDescent="0.25">
      <c r="R61" t="s">
        <v>356</v>
      </c>
      <c r="U61">
        <v>54</v>
      </c>
    </row>
    <row r="62" spans="1:23" x14ac:dyDescent="0.25">
      <c r="R62" t="s">
        <v>357</v>
      </c>
      <c r="U62">
        <v>47</v>
      </c>
    </row>
    <row r="64" spans="1:23" x14ac:dyDescent="0.25">
      <c r="S64" s="12">
        <v>4497.21</v>
      </c>
      <c r="T64" t="s">
        <v>364</v>
      </c>
    </row>
    <row r="65" spans="18:20" x14ac:dyDescent="0.25">
      <c r="S65" s="12">
        <v>7130</v>
      </c>
      <c r="T65" t="s">
        <v>347</v>
      </c>
    </row>
    <row r="66" spans="18:20" x14ac:dyDescent="0.25">
      <c r="S66" s="12">
        <v>9266.67</v>
      </c>
      <c r="T66" t="s">
        <v>363</v>
      </c>
    </row>
    <row r="68" spans="18:20" x14ac:dyDescent="0.25">
      <c r="S68" s="12">
        <f>SUM(S64:S67)</f>
        <v>20893.879999999997</v>
      </c>
      <c r="T68" t="s">
        <v>4</v>
      </c>
    </row>
    <row r="69" spans="18:20" x14ac:dyDescent="0.25">
      <c r="S69" s="12">
        <f>58600-S68</f>
        <v>37706.120000000003</v>
      </c>
      <c r="T69" t="s">
        <v>365</v>
      </c>
    </row>
    <row r="70" spans="18:20" x14ac:dyDescent="0.25">
      <c r="R70" t="s">
        <v>366</v>
      </c>
      <c r="S70">
        <v>4500</v>
      </c>
      <c r="T70" t="s">
        <v>367</v>
      </c>
    </row>
    <row r="71" spans="18:20" x14ac:dyDescent="0.25">
      <c r="R71" s="63" t="s">
        <v>366</v>
      </c>
      <c r="S71" s="63">
        <f>6500*1.2</f>
        <v>7800</v>
      </c>
      <c r="T71" s="63" t="s">
        <v>368</v>
      </c>
    </row>
    <row r="72" spans="18:20" x14ac:dyDescent="0.25">
      <c r="S72" s="12">
        <f>S69-S70-S71</f>
        <v>25406.120000000003</v>
      </c>
      <c r="T72" t="s">
        <v>369</v>
      </c>
    </row>
  </sheetData>
  <mergeCells count="3">
    <mergeCell ref="B2:E2"/>
    <mergeCell ref="G2:J2"/>
    <mergeCell ref="L2:O2"/>
  </mergeCells>
  <pageMargins left="0.7" right="0.7" top="0.75" bottom="0.75" header="0.3" footer="0.3"/>
  <pageSetup paperSize="9" orientation="portrait" r:id="rId1"/>
  <ignoredErrors>
    <ignoredError sqref="U31" formulaRange="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A z V N U 0 y H 0 c O k A A A A 9 Q A A A B I A H A B D b 2 5 m a W c v U G F j a 2 F n Z S 5 4 b W w g o h g A K K A U A A A A A A A A A A A A A A A A A A A A A A A A A A A A e 7 9 7 v 4 1 9 R W 6 O Q l l q U X F m f p 6 t k q G e g Z J C a l 5 y f k p m X r q t U m l J m q 6 F k r 2 d T U B i c n Z i e q o C U H F e s V V F c a a t U k Z J S Y G V v n 5 5 e b l e u b F e f l G 6 v p G B g a F + h K 9 P c H J G a m 6 i b m Z e c U l i X n K q E l x X C m F d S n Y 2 Y R D H 2 B n p W Z r r G R s B n W S j D x O z 8 c 3 M Q 8 i D 5 E C y S I I 2 z q U 5 J a V F q X a p e b r u T j b 6 M K 6 N P t Q L d g B Q S w M E F A A C A A g A A z V N 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M 1 T V M o i k e 4 D g A A A B E A A A A T A B w A R m 9 y b X V s Y X M v U 2 V j d G l v b j E u b S C i G A A o o B Q A A A A A A A A A A A A A A A A A A A A A A A A A A A A r T k 0 u y c z P U w i G 0 I b W A F B L A Q I t A B Q A A g A I A A M 1 T V N M h 9 H D p A A A A P U A A A A S A A A A A A A A A A A A A A A A A A A A A A B D b 2 5 m a W c v U G F j a 2 F n Z S 5 4 b W x Q S w E C L Q A U A A I A C A A D N U 1 T D 8 r p q 6 Q A A A D p A A A A E w A A A A A A A A A A A A A A A A D w A A A A W 0 N v b n R l b n R f V H l w Z X N d L n h t b F B L A Q I t A B Q A A g A I A A M 1 T V M 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D c a I a + I 4 W + S a z z a o Y J F 7 C C A A A A A A I A A A A A A B B m A A A A A Q A A I A A A A P P N z 2 0 g v 7 w W K K / T 8 v w G 0 Z l 4 V 8 I S v M x h k U x 7 s Q M U V r 7 p A A A A A A 6 A A A A A A g A A I A A A A B O z S p H d q A T p X D p j Q e e v O F C n f a 7 8 J s L C f u Q L Q b I 4 m 5 O g U A A A A A / 0 9 W + G q I v M G J B g 2 a V E S n 1 c V x 4 V t 2 + d j o Y Z K D 9 n W g U 6 h 4 r Z 8 n y s x W U a Q m p I d 9 J 9 / E f E N 3 2 a z F Y o 1 5 y j 8 p r W C o + 6 W n D W a O L 3 S y S 5 J t D z 6 t 8 5 Q A A A A P 4 B 2 / i F j q l y S 4 q H / c P E + d H L s b 6 9 + D R S W j c d S W B q Y Y n 2 O 9 C O n c l l 8 J m U 8 k Q / E z 4 C 8 U 4 + N r H G W A l j U O K q n F 4 h h 1 4 = < / D a t a M a s h u p > 
</file>

<file path=customXml/itemProps1.xml><?xml version="1.0" encoding="utf-8"?>
<ds:datastoreItem xmlns:ds="http://schemas.openxmlformats.org/officeDocument/2006/customXml" ds:itemID="{914ED339-EC36-4BF9-9F93-2873CACCEB6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2023-24 in&amp;out</vt:lpstr>
      <vt:lpstr>P&amp;L 2024</vt:lpstr>
      <vt:lpstr>2025 in&amp;out</vt:lpstr>
      <vt:lpstr>P&amp;L 2025</vt:lpstr>
      <vt:lpstr>Cash Flow</vt:lpstr>
      <vt:lpstr>'2025 in&amp;out'!Print_Area</vt:lpstr>
      <vt:lpstr>'Cash Flow'!Print_Area</vt:lpstr>
      <vt:lpstr>'P&amp;L 2024'!Print_Area</vt:lpstr>
      <vt:lpstr>'P&amp;L 2025'!Print_Area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 Gratton</dc:creator>
  <cp:lastModifiedBy>Dave Gratton</cp:lastModifiedBy>
  <cp:lastPrinted>2026-04-15T14:32:21Z</cp:lastPrinted>
  <dcterms:created xsi:type="dcterms:W3CDTF">2021-09-24T06:07:03Z</dcterms:created>
  <dcterms:modified xsi:type="dcterms:W3CDTF">2026-07-04T07:32:24Z</dcterms:modified>
</cp:coreProperties>
</file>